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9" activeTab="13"/>
  </bookViews>
  <sheets>
    <sheet name="анонимные наркоманы" sheetId="1" r:id="rId1"/>
    <sheet name="прейск-т" sheetId="2" r:id="rId2"/>
    <sheet name="КДЛ" sheetId="3" r:id="rId3"/>
    <sheet name="лаб-рия" sheetId="4" r:id="rId4"/>
    <sheet name="бак.лаб." sheetId="5" r:id="rId5"/>
    <sheet name="Лист1" sheetId="6" r:id="rId6"/>
    <sheet name="ФЛЮВАКСИН" sheetId="7" state="hidden" r:id="rId7"/>
    <sheet name="инфандрикс" sheetId="8" state="hidden" r:id="rId8"/>
    <sheet name="инфандрикс Икса" sheetId="9" state="hidden" r:id="rId9"/>
    <sheet name="бак нов" sheetId="10" r:id="rId10"/>
    <sheet name="Маммоскан" sheetId="11" r:id="rId11"/>
    <sheet name="манипуляции" sheetId="12" r:id="rId12"/>
    <sheet name="ЦЦЛ" sheetId="13" r:id="rId13"/>
    <sheet name="роды" sheetId="14" r:id="rId14"/>
  </sheets>
  <externalReferences>
    <externalReference r:id="rId17"/>
    <externalReference r:id="rId18"/>
  </externalReferences>
  <definedNames>
    <definedName name="_xlnm.Print_Area" localSheetId="4">'бак.лаб.'!$A$1:$P$134</definedName>
    <definedName name="_xlnm.Print_Area" localSheetId="5">'Лист1'!$A$1:$O$60</definedName>
    <definedName name="_xlnm.Print_Area" localSheetId="10">'Маммоскан'!$A$1:$J$130</definedName>
    <definedName name="_xlnm.Print_Area" localSheetId="11">'манипуляции'!$A$1:$O$50</definedName>
    <definedName name="_xlnm.Print_Area" localSheetId="1">'прейск-т'!$A$4:$AE$1449</definedName>
    <definedName name="_xlnm.Print_Area" localSheetId="13">'роды'!$A$1:$M$45</definedName>
    <definedName name="_xlnm.Print_Area" localSheetId="6">'ФЛЮВАКСИН'!$A$1:$J$184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4" authorId="0">
      <text>
        <r>
          <rPr>
            <b/>
            <sz val="10"/>
            <rFont val="Tahoma"/>
            <family val="2"/>
          </rPr>
          <t>User</t>
        </r>
      </text>
    </comment>
    <comment ref="L6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136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  <comment ref="A1356" authorId="0">
      <text>
        <r>
          <rPr>
            <b/>
            <sz val="10"/>
            <rFont val="Tahoma"/>
            <family val="2"/>
          </rPr>
          <t>User</t>
        </r>
      </text>
    </comment>
    <comment ref="A1432" authorId="0">
      <text>
        <r>
          <rPr>
            <b/>
            <sz val="10"/>
            <rFont val="Tahoma"/>
            <family val="2"/>
          </rPr>
          <t>User</t>
        </r>
      </text>
    </comment>
    <comment ref="L143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  <comment ref="O1360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  <comment ref="O1438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<sst xmlns="http://schemas.openxmlformats.org/spreadsheetml/2006/main" count="5731" uniqueCount="959">
  <si>
    <t>подсчет тромбоцитов в окрашенных мазках по Фонио</t>
  </si>
  <si>
    <t>определение скорости оседания эритроцитов</t>
  </si>
  <si>
    <t>подсчет лейкоцитов в счетной камере для негематологических заболеваний</t>
  </si>
  <si>
    <t>подсчет лейкоцитарной формулы с описанием морфологии форменных элементов крови для негематологических заболеваний</t>
  </si>
  <si>
    <t>Биохимические исследования</t>
  </si>
  <si>
    <t>Определение общего белка сыворотки крови</t>
  </si>
  <si>
    <t>Определение мочевины сыворотки крови конечно-точечным ферментативным методом</t>
  </si>
  <si>
    <t>Определение креатинина сыворотки крови по Яффе конечно-точечным методом</t>
  </si>
  <si>
    <t>Определение глюкозы в сыворотке крови ферментативным методом</t>
  </si>
  <si>
    <t>Определение глюкозы в цельной крови экспресс-методом</t>
  </si>
  <si>
    <t>М.В. Ровгач</t>
  </si>
  <si>
    <t>Е.М. Гурин</t>
  </si>
  <si>
    <t>Определение холестерина альфа-липопротеинов после осаждения пре-бета-  и  бета-липопротеинов с расчетом коэфициента атерогенности</t>
  </si>
  <si>
    <t>альфа-холестерин</t>
  </si>
  <si>
    <t>ЛНП-холестерин</t>
  </si>
  <si>
    <t>Определение общего холестерина сыворотки крови ферментативным методом</t>
  </si>
  <si>
    <t>Определение триацилглицеринов в сыворотке крови ферментативным методом</t>
  </si>
  <si>
    <t>2016 г.</t>
  </si>
  <si>
    <t>до 25.01.2016г.</t>
  </si>
  <si>
    <t>Гл.бухгалтер</t>
  </si>
  <si>
    <t>Определение билирубина и его фракций в сыворотке крови методом Йендрашека- Клеггорн-Грофа</t>
  </si>
  <si>
    <t>Определение железа в сыворотке крови феррозиновым методом</t>
  </si>
  <si>
    <t xml:space="preserve">Определение общего кальция в сыворотке крови: </t>
  </si>
  <si>
    <t>с глиоксаль-бис- гидроксианалином (реактив ГБОА)</t>
  </si>
  <si>
    <t>Определение активности аспартатаминотрансферазы в сыворотке крови методом Райтмана-Френкеля (ASAT)</t>
  </si>
  <si>
    <t>Определение активности аланинаминотрансферазы в сыворотке крови методом Райтмана-Френкеля (ALAT)</t>
  </si>
  <si>
    <t>Определение активности щелочной фосфатазы в сыворотке крови кинетическим методом</t>
  </si>
  <si>
    <t>___________Г.М.Моисеенкова</t>
  </si>
  <si>
    <t>на платные медицинские услуги по лабораторной диагностике</t>
  </si>
  <si>
    <t>Материалы</t>
  </si>
  <si>
    <t>ИТОГО отпускная цена</t>
  </si>
  <si>
    <t>Наименование услуги</t>
  </si>
  <si>
    <t xml:space="preserve">  </t>
  </si>
  <si>
    <t>изме-рения</t>
  </si>
  <si>
    <t>до деноми-нации</t>
  </si>
  <si>
    <t>после деноми-нации</t>
  </si>
  <si>
    <t>Отпускная</t>
  </si>
  <si>
    <t>без   НДС</t>
  </si>
  <si>
    <t>Цитологические исследования</t>
  </si>
  <si>
    <t>Цитологическое исследование биологического материала при отсутствии патологических изменений при профилактическом осмотре женщин</t>
  </si>
  <si>
    <t>Исследование биологического материала (полный анализ) с исследованием патологической флоры, трихомонад, гарднерел, гонококков, хламидий  при профилактическом осмотре женщин</t>
  </si>
  <si>
    <t>Исследование соскобов с шейки матки и цервикального канала</t>
  </si>
  <si>
    <t>Исследование аспирата из полости матки при отсутствии изменений</t>
  </si>
  <si>
    <t>Исследование отпечатка ВМС</t>
  </si>
  <si>
    <t>для иностранных граждан</t>
  </si>
  <si>
    <t>Определение активности креатинфосфокиназы кинетическим методом</t>
  </si>
  <si>
    <t>Определение активности гамма- глутамилтранспептидазы кинетическим методом</t>
  </si>
  <si>
    <t>Определение активности кислой фосфатазы в сыворотке крови:</t>
  </si>
  <si>
    <t>кинетическим методом</t>
  </si>
  <si>
    <t>Определение активности холинэстеразы в сыворотке крови по гидролизу ацетилхолинхлорида</t>
  </si>
  <si>
    <t>Определение гормонов методом ИФА с полуавтоматизированным расчетом</t>
  </si>
  <si>
    <t>ТТГ</t>
  </si>
  <si>
    <t>Т4</t>
  </si>
  <si>
    <t>Анти-ТПО</t>
  </si>
  <si>
    <t>Сифилис</t>
  </si>
  <si>
    <t>Определение канцеромаркеров методом ИФА: полуавтоматизированный расчет</t>
  </si>
  <si>
    <t>Исследования с использованием ионоселективных методов:</t>
  </si>
  <si>
    <t>Определение калия, натрия и хлора посредством автоматических анализаторов</t>
  </si>
  <si>
    <t>Исследования состояния гемостаза</t>
  </si>
  <si>
    <t>Определение активированного времени рекальцификации плазмы с суспензией каолина</t>
  </si>
  <si>
    <t>Определение протромбинового(тромбопластинового)времени с тромбопластин-кальциевой смесью</t>
  </si>
  <si>
    <t>Определение содержания фибриногена в плазме крови весовым методом</t>
  </si>
  <si>
    <t>Иммунологические исследования</t>
  </si>
  <si>
    <t>Определение групп крови по системе А В 0 с использованием стандартных сывороток или перекрестным способом в венозной крови</t>
  </si>
  <si>
    <t>Бактериологические исследования</t>
  </si>
  <si>
    <t>Отдельные виды исследований и работ</t>
  </si>
  <si>
    <t>Реакция пассивной гемагглютинации с одним диагностикумом (РПГА)</t>
  </si>
  <si>
    <t xml:space="preserve">качественный метод </t>
  </si>
  <si>
    <t xml:space="preserve">количественный метод </t>
  </si>
  <si>
    <t xml:space="preserve">Реакция связывания комплемента при диагностике сифилиса </t>
  </si>
  <si>
    <t>одно исследование  в серии из 10</t>
  </si>
  <si>
    <t>Определение вирусных и бактериальных антигенов методом иммуноферментного анализа с автоматизированным расчетом одно исследование в серии</t>
  </si>
  <si>
    <t>Определение антител к вирусным и бактериальным антигенам методом иммуноферментного анализа с полуавтоматизированным расчетом  -  одно исследование в серии</t>
  </si>
  <si>
    <t>Микрореакция преципитации (МРП) с кардиолипиновым антигеном с инактивированной нативной сывороткой крови – качественный метод (один в серии)</t>
  </si>
  <si>
    <t>Микрореакция преципитации (МРП) с кардиолипиновым антигеном :</t>
  </si>
  <si>
    <t>с инактивированной сывороткой крови –  количественный метод</t>
  </si>
  <si>
    <t>Микрореакция преципитации (МРП) с кардиолипиновым антигеном с плазмой крови при непосредственном взятии крови из пальца и приготовлении контрольных сывороток и антигена на месте</t>
  </si>
  <si>
    <t>№ позиции</t>
  </si>
  <si>
    <t>согласно</t>
  </si>
  <si>
    <t>постано-</t>
  </si>
  <si>
    <t>влению</t>
  </si>
  <si>
    <t>МЗ РБ</t>
  </si>
  <si>
    <t>Определение гормонов методом иммуноферментного</t>
  </si>
  <si>
    <t>анализа с полуавтоматизированным расчетом</t>
  </si>
  <si>
    <t>5,9,1,2</t>
  </si>
  <si>
    <t>Определение канцеромаркеров методом иммуноферментного анализа</t>
  </si>
  <si>
    <t>определение канцеромаркеров методом ИФА полуавтоматизированный расчет:</t>
  </si>
  <si>
    <t>5.11.1.</t>
  </si>
  <si>
    <t>Общий  анализ крови</t>
  </si>
  <si>
    <t>1,3,2</t>
  </si>
  <si>
    <t>Развернутый  анализ крови</t>
  </si>
  <si>
    <t>Общий  анализ крови  (тройка)</t>
  </si>
  <si>
    <t>Общий  анализ мочи</t>
  </si>
  <si>
    <t>Определение общего холестерина</t>
  </si>
  <si>
    <t>5.2.10.</t>
  </si>
  <si>
    <t>Определение холестерина альфа-липопротеинов после осаждения пре-бета- и бета-липопротеинов с расчетом коэффициента атерогенности</t>
  </si>
  <si>
    <t>5,2,9,</t>
  </si>
  <si>
    <t>5,2,9</t>
  </si>
  <si>
    <t>платных медицинских услуг Слонимской ЦРБ</t>
  </si>
  <si>
    <t>по лабораторной диагностике</t>
  </si>
  <si>
    <t>На</t>
  </si>
  <si>
    <t>Расчет тарифов на платные медицинские услуги</t>
  </si>
  <si>
    <t>( для Зельвы, Дятлова)</t>
  </si>
  <si>
    <t>Едини-ца изме-рения</t>
  </si>
  <si>
    <t>единичное</t>
  </si>
  <si>
    <t>каж- дое после-дую-щее</t>
  </si>
  <si>
    <t>каж- дое последую-щее</t>
  </si>
  <si>
    <t>Стои-мость мате-риалов</t>
  </si>
  <si>
    <t>единич-ное</t>
  </si>
  <si>
    <t>Функциональная  диагностика</t>
  </si>
  <si>
    <t>ЭКГ в 12-ти  отведениях без функциональных проб</t>
  </si>
  <si>
    <t>ЭКГ в 12-ти  отведениях с функциональными пробами  ( за одну пробу )</t>
  </si>
  <si>
    <t>ЭКГ в дополнительных отведениях</t>
  </si>
  <si>
    <t>Электрокардиотопограмма в 60 отведениях(ЭКТГ-60)</t>
  </si>
  <si>
    <t>Реографические исследования (на автоматизированном оборудовании) :</t>
  </si>
  <si>
    <t>Реоэнцефалография(2симметричных участка)без проведения функциональных проб</t>
  </si>
  <si>
    <t>Исследование  функции  внешнего  дыхания без  функциональных  проб</t>
  </si>
  <si>
    <t>Проведение функциональной пробы при исследовании функции внешнего дыхания</t>
  </si>
  <si>
    <t>Пневмотахометрия</t>
  </si>
  <si>
    <t>Исследование центральной гиподинамики</t>
  </si>
  <si>
    <t>Электрокардиографические исследования</t>
  </si>
  <si>
    <t xml:space="preserve">Электрокардиографическое исследование с дозированной физической нагрузкой </t>
  </si>
  <si>
    <t>женщины - 125</t>
  </si>
  <si>
    <t>женщины СА 125</t>
  </si>
  <si>
    <t>2</t>
  </si>
  <si>
    <t>1.1</t>
  </si>
  <si>
    <t>1.2</t>
  </si>
  <si>
    <t>2.1</t>
  </si>
  <si>
    <t>2.2</t>
  </si>
  <si>
    <t>2.3</t>
  </si>
  <si>
    <t>3</t>
  </si>
  <si>
    <t>3.1</t>
  </si>
  <si>
    <t>3.2</t>
  </si>
  <si>
    <t>4</t>
  </si>
  <si>
    <t>Исследования на аэробные и факультативные анаэробные микроорганизмы в моче</t>
  </si>
  <si>
    <t>4.1</t>
  </si>
  <si>
    <t>4.2</t>
  </si>
  <si>
    <t>Исследования у женщин с заболеванием половой системы</t>
  </si>
  <si>
    <t>5</t>
  </si>
  <si>
    <t>5.1</t>
  </si>
  <si>
    <t>5.2</t>
  </si>
  <si>
    <t>6</t>
  </si>
  <si>
    <t>Исследования на патогенную и условно-патогенную кишечную микрофлору</t>
  </si>
  <si>
    <t>6.1</t>
  </si>
  <si>
    <t>6.2</t>
  </si>
  <si>
    <t>7</t>
  </si>
  <si>
    <t>Определение чувствительности микроорганизма к антибиотикам</t>
  </si>
  <si>
    <t>вводится с   19 апреля 2017 года</t>
  </si>
  <si>
    <t>О.Н. Гаркавая</t>
  </si>
  <si>
    <t>Реовазография верхних или нижних конечностей (2сегмента) без проведения функциональных проб</t>
  </si>
  <si>
    <t>Проведение функциональной пробы при  РВГ верхних или нижних конечностей (2 сегмента) ( за одну пробу )</t>
  </si>
  <si>
    <t>Исследование  функции  внешнего  дыхания без  функциональных  проб (за одну пробу)</t>
  </si>
  <si>
    <t>Бухгалтер</t>
  </si>
  <si>
    <t xml:space="preserve">по состоянию на  </t>
  </si>
  <si>
    <t>Расчет тарифов на платные медицинские услуги по лабораторной диагностике</t>
  </si>
  <si>
    <t>полуавтоматизированный расчет</t>
  </si>
  <si>
    <t>мужчины</t>
  </si>
  <si>
    <t>женщины</t>
  </si>
  <si>
    <t>ГРИППОЛ ПЛЮС</t>
  </si>
  <si>
    <t>на платную медицинскую услугу по лабораторной диагностике</t>
  </si>
  <si>
    <t>Вводится в действие с</t>
  </si>
  <si>
    <t>последующее</t>
  </si>
  <si>
    <t>Определение индивидуальных белков сыворотки крови (СРБ, С3, С4, С5, С1-ингибитор и т.д.)</t>
  </si>
  <si>
    <t>методом радиальной иммунодиффузии</t>
  </si>
  <si>
    <t>исследо-вание</t>
  </si>
  <si>
    <t>Определение активности анти-0-стрептолизина в сыворотке крови</t>
  </si>
  <si>
    <t>Определение ревматоидного фактора в сыворотке крови</t>
  </si>
  <si>
    <t>Гликозированный гемоглобин</t>
  </si>
  <si>
    <t>Начальник ПЭО</t>
  </si>
  <si>
    <t>позиции</t>
  </si>
  <si>
    <t>Регистрация (предв. и оконча.) материала, данных пациента и результатов исследования</t>
  </si>
  <si>
    <t>Забор крови из вены</t>
  </si>
  <si>
    <t>Обработка венозной крови для получения плазмы или сыворотки</t>
  </si>
  <si>
    <t>7.16.1.2</t>
  </si>
  <si>
    <t>7.17.2</t>
  </si>
  <si>
    <t>7.21.2</t>
  </si>
  <si>
    <t>О.Н.Гаркавая</t>
  </si>
  <si>
    <t>Взятие крови из пальца для гематологических (исследование 1-го показателя),биохимических или исследований протромбинового времени</t>
  </si>
  <si>
    <t>УТВЕРЖДАЮ</t>
  </si>
  <si>
    <t>Слонимской ЦРБ</t>
  </si>
  <si>
    <t>Дерматовенерология</t>
  </si>
  <si>
    <t>Главный врач</t>
  </si>
  <si>
    <t>Ю.В.Петельский</t>
  </si>
  <si>
    <t>Консультация</t>
  </si>
  <si>
    <t>Первичная консультация врача-рефлексотерапевта</t>
  </si>
  <si>
    <t>Повторная консультация врача-рефлексотерапевта</t>
  </si>
  <si>
    <t>Выявление альгических точек (зон)</t>
  </si>
  <si>
    <t>Выявление альгических точек (зон) на ушной раковине</t>
  </si>
  <si>
    <t>(аурикулярное тестирование) методом зондирования</t>
  </si>
  <si>
    <t>Методы рефлексотерапии</t>
  </si>
  <si>
    <t>сеанс</t>
  </si>
  <si>
    <t>Микроиглоукалывание</t>
  </si>
  <si>
    <t>Вакуум-рефлексотерапия,стабильная методика</t>
  </si>
  <si>
    <t>Фармакорефлексотерапия</t>
  </si>
  <si>
    <t>Услуги по оториноларингологии</t>
  </si>
  <si>
    <t>Промывыние наружного слухового прохода</t>
  </si>
  <si>
    <t>Психотерапия</t>
  </si>
  <si>
    <t>Первичный прием врача-психотерапевта (взрослый)</t>
  </si>
  <si>
    <t>Сеанс индивидуальной психотерапии невротических, психосоматических и поведенческих расстройств (взрослый)</t>
  </si>
  <si>
    <t>Сеанс  индивидуальной   психотерапии зависимостей  (алкогольной, никотиновой, пищевой, игровой и других)</t>
  </si>
  <si>
    <t>ДЛЯ ГРАЖДАН БЕЗ ВИДА НА ЖИТЕЛЬСТВО В РБ И ГРАЖДАН СТРАН ВНЕ СНГ</t>
  </si>
  <si>
    <t>ДЛЯ ГРАЖДАН СТРАН СНГ С ВИДОМ НА ЖИТЕЛЬСТВО В РБ</t>
  </si>
  <si>
    <t>5.1.</t>
  </si>
  <si>
    <t>5.2.</t>
  </si>
  <si>
    <t>6.2.</t>
  </si>
  <si>
    <t>6.1.</t>
  </si>
  <si>
    <t xml:space="preserve">Манипуляции  для  лечения и  диагностики инфекций, </t>
  </si>
  <si>
    <t>Экстракорпоральное ультрафиолетовое облучение крови</t>
  </si>
  <si>
    <t>Внутривенное лазерное  облучение крови</t>
  </si>
  <si>
    <t>Услуги по офтальмологии</t>
  </si>
  <si>
    <t>Микроскопия окрашенных (по Граму) препаратов нативного материала</t>
  </si>
  <si>
    <t>Исследование с идентификацией до вида</t>
  </si>
  <si>
    <t>рода Стафилококка</t>
  </si>
  <si>
    <t>родов Стрептококка и Энтерококка</t>
  </si>
  <si>
    <t>семейства Энтеробактерий:  по 4-8 тестам (до рода)</t>
  </si>
  <si>
    <t>дрожжеподобных грибов рода Кандида и других</t>
  </si>
  <si>
    <t>1.2.</t>
  </si>
  <si>
    <t>Исследования на аэробные и факультативные анаэробные микроорганизмы в моче (полуколичественный метод):</t>
  </si>
  <si>
    <t>Исследование отделяемого половых органов на гонококки без забора материала в лаборатории</t>
  </si>
  <si>
    <t>Микроскопия препаратов нативного материала</t>
  </si>
  <si>
    <t>окрашенных по Граму</t>
  </si>
  <si>
    <t>окрашенных метиленовыи синим</t>
  </si>
  <si>
    <t>Культуральное исследование: при отсутствии микроорганизмов</t>
  </si>
  <si>
    <t>1.4.</t>
  </si>
  <si>
    <t>1.5.</t>
  </si>
  <si>
    <t>Определение чувствительности одного штамма микроорганизма к антибиотикам:</t>
  </si>
  <si>
    <t>Методом серийных разведений</t>
  </si>
  <si>
    <t>Биохимическая идентификация микроорганизма до вида</t>
  </si>
  <si>
    <t>Рутинным методом:</t>
  </si>
  <si>
    <t>Идентификация урогенитальных микоплазм, определение обсемененности образца и чувствительности к антибиотикам с применением тест-системы Mycoplasma IST без забора материала в лаборатории</t>
  </si>
  <si>
    <t>Хламидии</t>
  </si>
  <si>
    <t>Исследования на аэробные и факультативные анаэробные микроорга-низмы в отделяемом носоглотки и носа (каждое в отдельности):</t>
  </si>
  <si>
    <t>Исследования на аэробные и факультативные анаэробные микроорга-низмы в мокроте и промывных водах бронхов (количественный метод):</t>
  </si>
  <si>
    <t>отпускная цена</t>
  </si>
  <si>
    <t>2013 г.</t>
  </si>
  <si>
    <t>на видеоэндоскопической системе без функции хромоскопии</t>
  </si>
  <si>
    <t>Рентгеновская компьютерная томография</t>
  </si>
  <si>
    <t>1-й квалификационной категории</t>
  </si>
  <si>
    <t>Консультация врача-психиатора-нарколога</t>
  </si>
  <si>
    <t>В/в переферический катетор</t>
  </si>
  <si>
    <t>Хлорпротиксен 50мг.</t>
  </si>
  <si>
    <t>Витамин В6  6.0мл.</t>
  </si>
  <si>
    <t>Витамин В1 10.0мл</t>
  </si>
  <si>
    <t>Витамин С 10.0 мл</t>
  </si>
  <si>
    <t>Перчатки стерильные</t>
  </si>
  <si>
    <t>пара</t>
  </si>
  <si>
    <t>Антисептик "Инол"</t>
  </si>
  <si>
    <t>мл.</t>
  </si>
  <si>
    <t>Шприц одноразовый 5.0 мл.</t>
  </si>
  <si>
    <t>Шприц одноразовый 20.0 мл.</t>
  </si>
  <si>
    <t>Ватные шарики</t>
  </si>
  <si>
    <t xml:space="preserve">Зам.гл.бухгалтера </t>
  </si>
  <si>
    <t>Т.В.Якубович</t>
  </si>
  <si>
    <t>женщины СА-125</t>
  </si>
  <si>
    <t>мужчины ПСА</t>
  </si>
  <si>
    <t>Липидограмма</t>
  </si>
  <si>
    <t>исследова</t>
  </si>
  <si>
    <t xml:space="preserve">    29       сентября            2015г.</t>
  </si>
  <si>
    <t>Определение продуктов деградации фибрина(фибриногена)в сыворотке крови методом иммуноферментного анализа: полуавтоматизированный расчет</t>
  </si>
  <si>
    <t>№ пун-кта Поста-нвле-ния МЗ РБ</t>
  </si>
  <si>
    <t>1.3.1.</t>
  </si>
  <si>
    <t>1.3.2.</t>
  </si>
  <si>
    <t>2.1.4.1</t>
  </si>
  <si>
    <t>2.11.</t>
  </si>
  <si>
    <t>2.11.1.</t>
  </si>
  <si>
    <t>2.11.3.</t>
  </si>
  <si>
    <t>3.6.1.</t>
  </si>
  <si>
    <t>3.8.1.</t>
  </si>
  <si>
    <t>3.9.1.</t>
  </si>
  <si>
    <t>2.1.10.1.</t>
  </si>
  <si>
    <t>2.1.8.</t>
  </si>
  <si>
    <t>2.1.7.</t>
  </si>
  <si>
    <t>2.1.6.</t>
  </si>
  <si>
    <t>2.1.2.</t>
  </si>
  <si>
    <t>2.1.1.</t>
  </si>
  <si>
    <t>5.2.1.</t>
  </si>
  <si>
    <t>5.2.4.1.</t>
  </si>
  <si>
    <t>сентября</t>
  </si>
  <si>
    <t>вводится с   21 сентября 2016 года</t>
  </si>
  <si>
    <t>И.О. главного врача Слонимской ЦРБ</t>
  </si>
  <si>
    <t>В.А.Миско</t>
  </si>
  <si>
    <t>И.О. главного бухгалтера</t>
  </si>
  <si>
    <t>И.Г. Гончарук</t>
  </si>
  <si>
    <t>5.2.5.1.</t>
  </si>
  <si>
    <t>5.2.6.</t>
  </si>
  <si>
    <t>5.2.7.</t>
  </si>
  <si>
    <t>5.2.9.</t>
  </si>
  <si>
    <t>5.2.11.</t>
  </si>
  <si>
    <t>5.2.12.</t>
  </si>
  <si>
    <t>5.2.16.</t>
  </si>
  <si>
    <t>5.2.19.2.</t>
  </si>
  <si>
    <t>5.2.21.1</t>
  </si>
  <si>
    <t>5.2.22.1</t>
  </si>
  <si>
    <t>5.2.25.</t>
  </si>
  <si>
    <t>5.2.26.</t>
  </si>
  <si>
    <t>5.2.27.</t>
  </si>
  <si>
    <t>5.2.28.2</t>
  </si>
  <si>
    <t>5.2.29.1</t>
  </si>
  <si>
    <t>5.5.2.</t>
  </si>
  <si>
    <t>5.9.1.2</t>
  </si>
  <si>
    <t>6.2.1.</t>
  </si>
  <si>
    <t>6.6.2.</t>
  </si>
  <si>
    <t>6.7.1.</t>
  </si>
  <si>
    <t>7.1.2.</t>
  </si>
  <si>
    <t>8.17.5.2.</t>
  </si>
  <si>
    <t>8.17.9.2</t>
  </si>
  <si>
    <t>8.17.11.2</t>
  </si>
  <si>
    <t>8.17.11.3</t>
  </si>
  <si>
    <t>8.17.11.5</t>
  </si>
  <si>
    <t>3,8,1</t>
  </si>
  <si>
    <t>3,9,1</t>
  </si>
  <si>
    <t>Забор мазка на исследование</t>
  </si>
  <si>
    <t>Забор смазка на исследование</t>
  </si>
  <si>
    <t>.</t>
  </si>
  <si>
    <t>Трахеобронхоскопия (6.1.5.)</t>
  </si>
  <si>
    <t>Ректосигмоколоноскопия (6.1.12.)</t>
  </si>
  <si>
    <t>13.1.</t>
  </si>
  <si>
    <t>13.2.</t>
  </si>
  <si>
    <t>ФЛЮВАКСИН</t>
  </si>
  <si>
    <t>вакцина -</t>
  </si>
  <si>
    <t>И.о.главного бухгалтера</t>
  </si>
  <si>
    <t xml:space="preserve"> </t>
  </si>
  <si>
    <t>Флюваксин</t>
  </si>
  <si>
    <t>до 1.11.2013г.</t>
  </si>
  <si>
    <t>с 1.11.2013г.</t>
  </si>
  <si>
    <t>М.А.Поважнюк</t>
  </si>
  <si>
    <t>ноября</t>
  </si>
  <si>
    <t>вводится с   13 ноября 2013 года</t>
  </si>
  <si>
    <t>"Лечение синдрома отмены опиоидов (анонимно)" ,</t>
  </si>
  <si>
    <t>Трамадол</t>
  </si>
  <si>
    <t>Метоклопрамид</t>
  </si>
  <si>
    <t>Консультация врача-психиатра-нарколога</t>
  </si>
  <si>
    <t>вводится с</t>
  </si>
  <si>
    <t>Уважаемые пользователи прейскурантом!!!!!!!!!!!!Убедительная просьба!!!!!НЕ ПОРТИТЕ ПРЕЙСКУРАНТ!!!!если вы что-то составляете для себя, будьте так добры не вырезать, а копировать!!!!!</t>
  </si>
  <si>
    <t>декабря</t>
  </si>
  <si>
    <t>вводится с 27 декабря 2013г.</t>
  </si>
  <si>
    <t>Инфандрикс</t>
  </si>
  <si>
    <t>вакцина</t>
  </si>
  <si>
    <t>Инфандрикс Гекса</t>
  </si>
  <si>
    <t>ПСА</t>
  </si>
  <si>
    <t>ЦИТОЛОГИЧЕСКИЕ   ИССЛЕДОВАНИЯ</t>
  </si>
  <si>
    <t>Цитологическое исследование эндоскопического материала</t>
  </si>
  <si>
    <t>Врачом-онкологом</t>
  </si>
  <si>
    <t>Динамическое исследование артериального давления при</t>
  </si>
  <si>
    <t>непрерывной суточной регистрации (суточное мониторирование</t>
  </si>
  <si>
    <t>Г.М.Моисеенкова</t>
  </si>
  <si>
    <t>8.17.8.3.2</t>
  </si>
  <si>
    <t>8.</t>
  </si>
  <si>
    <t>8.3.1.</t>
  </si>
  <si>
    <t>8.3.3.</t>
  </si>
  <si>
    <t>8.3.3.1</t>
  </si>
  <si>
    <t>8.3.3.2</t>
  </si>
  <si>
    <t>8.3.3.3.1</t>
  </si>
  <si>
    <t>8.3.3.10</t>
  </si>
  <si>
    <t>8.4.</t>
  </si>
  <si>
    <t>8.4.2.</t>
  </si>
  <si>
    <t>8.4.2.1</t>
  </si>
  <si>
    <t>8.4.2.2</t>
  </si>
  <si>
    <t>8.4.2.3.1</t>
  </si>
  <si>
    <t>8.4.2.10</t>
  </si>
  <si>
    <t>8.7.</t>
  </si>
  <si>
    <t>8.7.1.</t>
  </si>
  <si>
    <t>8.7.1.1</t>
  </si>
  <si>
    <t>8.7.1.2</t>
  </si>
  <si>
    <t>8.7.2.1</t>
  </si>
  <si>
    <t>8.7.3.</t>
  </si>
  <si>
    <t>8.7.3.1</t>
  </si>
  <si>
    <t>8.7.3.2</t>
  </si>
  <si>
    <t>8.7.3.3.1</t>
  </si>
  <si>
    <t>8.7.3.10</t>
  </si>
  <si>
    <t>8.9.</t>
  </si>
  <si>
    <t>8.9.1.1.</t>
  </si>
  <si>
    <t>8.9.2.</t>
  </si>
  <si>
    <t>8.9.2.1.</t>
  </si>
  <si>
    <t>2017 г.</t>
  </si>
  <si>
    <t>8.9.2.2.</t>
  </si>
  <si>
    <t>8.9.2.3.1</t>
  </si>
  <si>
    <t>8.9.2.10</t>
  </si>
  <si>
    <t>8.15.</t>
  </si>
  <si>
    <t>8.15.2.</t>
  </si>
  <si>
    <t>8.16.</t>
  </si>
  <si>
    <t>8.16.2.</t>
  </si>
  <si>
    <t>Профилактические и обязательные медицинские осмотры граждан</t>
  </si>
  <si>
    <t>Медосвидетельствование состояние здоровья граждан для получения</t>
  </si>
  <si>
    <t>медицинской справки о состоянии здоровья, подтверждающей</t>
  </si>
  <si>
    <r>
      <t xml:space="preserve">годность </t>
    </r>
    <r>
      <rPr>
        <b/>
        <i/>
        <u val="single"/>
        <sz val="14"/>
        <color indexed="56"/>
        <rFont val="Arial"/>
        <family val="2"/>
      </rPr>
      <t>к управлению автомобилями с ручным управлением</t>
    </r>
  </si>
  <si>
    <t xml:space="preserve">Первичный прием врача-невролога </t>
  </si>
  <si>
    <t>Повторный прием врача-невролога</t>
  </si>
  <si>
    <t>аппарат "Маммоскан"</t>
  </si>
  <si>
    <t>Обзорная рентгенография молочной железы в двух проекциях</t>
  </si>
  <si>
    <t>Е.М.Гурин</t>
  </si>
  <si>
    <t>Главный бухгалтер</t>
  </si>
  <si>
    <t xml:space="preserve">                Гл.бухгалтер</t>
  </si>
  <si>
    <t xml:space="preserve">      УТВЕРЖДАЮ</t>
  </si>
  <si>
    <t>марта</t>
  </si>
  <si>
    <t>2015 г.</t>
  </si>
  <si>
    <t>вводится с   6 марта 2015 года</t>
  </si>
  <si>
    <t>Аппарат "Маммоскан"</t>
  </si>
  <si>
    <t>Обзорная рентгенография молочной железы в двух проекциях (с диском)</t>
  </si>
  <si>
    <t>Исследование</t>
  </si>
  <si>
    <t>Динамическое исследование артериального давления при непрерывной</t>
  </si>
  <si>
    <t>суточной регистрации (суточное мониторирование артериального</t>
  </si>
  <si>
    <t>платных медицинских услуг Слонимской ЦРБ по лабораторной диагностике для иностранных граждан</t>
  </si>
  <si>
    <t>по лабораторной диагностике для иностранных граждан</t>
  </si>
  <si>
    <t>Расчет тарифов на платные медицинские услуги по лабораторной диагностике для иностранных граждан</t>
  </si>
  <si>
    <t>Г.М. Моисеенкова</t>
  </si>
  <si>
    <t>_____________Г.М. Моисеенкова</t>
  </si>
  <si>
    <t>Врачом-терапевтом (врачом общей практики)</t>
  </si>
  <si>
    <t>Кардиотокограмма плода</t>
  </si>
  <si>
    <t>Диатермоэлектрокоагуляция</t>
  </si>
  <si>
    <t>Биопсия шейки матки (конхотомом)</t>
  </si>
  <si>
    <t>Общая хирургия</t>
  </si>
  <si>
    <t>Первичная хирургическая обработка раны</t>
  </si>
  <si>
    <t xml:space="preserve">Культуральное исследование </t>
  </si>
  <si>
    <t>Культуральное исследование</t>
  </si>
  <si>
    <t>Вскрытие и дренирование фурункула или карбункула или гидраденита</t>
  </si>
  <si>
    <t>Радикальное иссечение и дренирование флегмон или абсцессов</t>
  </si>
  <si>
    <t>Удаление нагноившейся опухоли</t>
  </si>
  <si>
    <t xml:space="preserve">Вскрытие кожного или подкожного панариция </t>
  </si>
  <si>
    <t>Лапароскопическая холецистэктомия</t>
  </si>
  <si>
    <t>Открытая холецистэктомия</t>
  </si>
  <si>
    <t>Грыжесечение паховой грыжи (простой)</t>
  </si>
  <si>
    <t>Грыжесечение паховой грыжи двусторонней (простой)</t>
  </si>
  <si>
    <t>Грыжесечение пупочной грыжи (простой)</t>
  </si>
  <si>
    <t>Грыжесечение грыжи спигелевой линии</t>
  </si>
  <si>
    <t>Грыжесечение бедренной грыжи простой</t>
  </si>
  <si>
    <t>Операция по поводу послеоперационной вентральной грыжи (простой)</t>
  </si>
  <si>
    <t>Повторный прием врача общей практики</t>
  </si>
  <si>
    <t>Первичный прием врача общей практики</t>
  </si>
  <si>
    <t>Первичный прием врача-ревматолога</t>
  </si>
  <si>
    <t>Повторный прием врача-ревматолога</t>
  </si>
  <si>
    <t>Первичный прием врача-терапевта</t>
  </si>
  <si>
    <t>Повторный прием врача-терапевта</t>
  </si>
  <si>
    <t>Повторный прием врача-фтизиатра</t>
  </si>
  <si>
    <t>Первичный прием врача-фтизиатра</t>
  </si>
  <si>
    <t>7.2.</t>
  </si>
  <si>
    <t>"Утверждаю"</t>
  </si>
  <si>
    <t>Главный врач Слонимской ЦРБ</t>
  </si>
  <si>
    <t>ИНФОРМАЦИЯ ДЛЯ ПАЦИЕНТОВ</t>
  </si>
  <si>
    <t>П Р Е Й С К У Р А Н Т</t>
  </si>
  <si>
    <t xml:space="preserve">на платные медицинские услуги, оказываемые Слонимской  ЦРБ </t>
  </si>
  <si>
    <t xml:space="preserve">вводится с </t>
  </si>
  <si>
    <t>Ст-сть</t>
  </si>
  <si>
    <t>ИТОГО</t>
  </si>
  <si>
    <t>№</t>
  </si>
  <si>
    <t>Наименование платных медицинских услуг</t>
  </si>
  <si>
    <t>Ед.</t>
  </si>
  <si>
    <t>Тариф</t>
  </si>
  <si>
    <t>мате-</t>
  </si>
  <si>
    <t>отпускная</t>
  </si>
  <si>
    <t>п/п</t>
  </si>
  <si>
    <t>изм.</t>
  </si>
  <si>
    <t>риалов</t>
  </si>
  <si>
    <t>цена</t>
  </si>
  <si>
    <t>с использованием готовых иммунодиффузионных планшет (7.16.1.2)</t>
  </si>
  <si>
    <t>латекс-тест (7.17.2)</t>
  </si>
  <si>
    <t>латекс-тест (7.21.2)</t>
  </si>
  <si>
    <t>(руб.)</t>
  </si>
  <si>
    <t>Рефлексотерапия</t>
  </si>
  <si>
    <t>Классическое иглоукалывание (акупунктура)</t>
  </si>
  <si>
    <t>процедура</t>
  </si>
  <si>
    <t>Физиотерапия</t>
  </si>
  <si>
    <t>2.1.</t>
  </si>
  <si>
    <t>Магнитотерапия местная</t>
  </si>
  <si>
    <t>2.2.</t>
  </si>
  <si>
    <t>Лазеротерапия, магнитолазеротерапия чрезкожная</t>
  </si>
  <si>
    <t>Подводный душ-массаж</t>
  </si>
  <si>
    <t>Массаж</t>
  </si>
  <si>
    <t>Выполнение массажных процедур механическим воздействием руками</t>
  </si>
  <si>
    <t>Массаж головы (лобно-височной и затылочно-теменной области)</t>
  </si>
  <si>
    <t>Массаж лица (лобный,окологлазный,верхне- и нижнечелюстной области)</t>
  </si>
  <si>
    <t>Массаж  шеи</t>
  </si>
  <si>
    <t>Массаж воротниковой зоны(зад.поверхности шеи,спина до уровня 4-го</t>
  </si>
  <si>
    <t>грудного позвонка,передней поверхности грудной клетки до 2-го ребра)</t>
  </si>
  <si>
    <t>Массаж  верхней  конечности</t>
  </si>
  <si>
    <t>Массаж  верхней  конечности , надплечья  и  области лопатки</t>
  </si>
  <si>
    <t>Массаж кисти и предплечья</t>
  </si>
  <si>
    <t>Массаж области грудной клетки (области передней поверхности грудной клетки от передних границ предплечья до реберных дуг и области спины от  7-го  до  1-го поясничного позвонка)</t>
  </si>
  <si>
    <t>Массаж спины (от 7-го шейного до 1-го поясничного позвонка и от левой до правой средней аксиллярной линии, у детей - включая пояснично-крестцовую область)</t>
  </si>
  <si>
    <t>Массаж мышц передней брюшной стенки</t>
  </si>
  <si>
    <t>Массаж пояснично-крестцовой области (от 1-го поясничного позвонка до нижних ягодичных складок )</t>
  </si>
  <si>
    <t>Сегментарный массаж пояснично-крестцовой области</t>
  </si>
  <si>
    <t>Массаж спины и поясницы   ( от 7-го шейного позвонка до крестца и от левой до правой аксиллярной линии)</t>
  </si>
  <si>
    <t>Массаж шейно-грудного отдела позвоночника (области задней поверхности шеи и области спины до первого поясничного позвонка и от левой до правой аксиллярной линии)</t>
  </si>
  <si>
    <t>Сегментарный  массаж  шейно-грудного  отдела  позвоночника</t>
  </si>
  <si>
    <t>ДО  ДЕНОМИНАЦИИ</t>
  </si>
  <si>
    <t>ПОСЛЕ   ДЕНОМИНАЦИИ</t>
  </si>
  <si>
    <t xml:space="preserve">Гл.бухгалтер </t>
  </si>
  <si>
    <t>с т о и м о с т ь</t>
  </si>
  <si>
    <t xml:space="preserve"> И Т О Г О</t>
  </si>
  <si>
    <t>плечевого сустава одноименной стороны )</t>
  </si>
  <si>
    <t xml:space="preserve">Массаж плечевого сустава  (верхней трети плеча, области </t>
  </si>
  <si>
    <t>локтевого  сустава и нижней трети предплечья)</t>
  </si>
  <si>
    <t>Массаж локтевого сустава (верхней трети предплечья, обл.</t>
  </si>
  <si>
    <t>обл.лучезапястного сустава и предплечья)</t>
  </si>
  <si>
    <t xml:space="preserve">Массаж лучезапястного сустава (проксимального отдела кисти, </t>
  </si>
  <si>
    <t>4- го грудного позвонка,передней поверхности грудной клетки до 2-го ребра)</t>
  </si>
  <si>
    <t>Массаж воротниковой зоны(зад.поверхности шеи,спина до уровня</t>
  </si>
  <si>
    <t>ПОСЛЕ                       ДЕНОМИНАЦИИ</t>
  </si>
  <si>
    <r>
      <t>Электрокардиографическое исследование с непрерывной суточ-ной регистрацией электрокардиограммы в период свободной активности пациента (</t>
    </r>
    <r>
      <rPr>
        <b/>
        <i/>
        <sz val="13"/>
        <color indexed="18"/>
        <rFont val="Arial"/>
        <family val="2"/>
      </rPr>
      <t>холтеровское мониторирование</t>
    </r>
    <r>
      <rPr>
        <sz val="13"/>
        <color indexed="18"/>
        <rFont val="Arial"/>
        <family val="2"/>
      </rPr>
      <t xml:space="preserve"> </t>
    </r>
    <r>
      <rPr>
        <b/>
        <i/>
        <sz val="13"/>
        <color indexed="18"/>
        <rFont val="Arial"/>
        <family val="2"/>
      </rPr>
      <t>стандартное)</t>
    </r>
  </si>
  <si>
    <r>
      <t xml:space="preserve">артериального давления  - </t>
    </r>
    <r>
      <rPr>
        <b/>
        <i/>
        <sz val="13"/>
        <color indexed="18"/>
        <rFont val="Arial"/>
        <family val="2"/>
      </rPr>
      <t>СМАД</t>
    </r>
    <r>
      <rPr>
        <sz val="13"/>
        <color indexed="18"/>
        <rFont val="Arial"/>
        <family val="2"/>
      </rPr>
      <t>) стандартное</t>
    </r>
  </si>
  <si>
    <r>
      <t>Второй</t>
    </r>
    <r>
      <rPr>
        <sz val="13"/>
        <color indexed="56"/>
        <rFont val="Arial Cyr"/>
        <family val="0"/>
      </rPr>
      <t xml:space="preserve"> квалификационной категории:</t>
    </r>
  </si>
  <si>
    <r>
      <t>Первой</t>
    </r>
    <r>
      <rPr>
        <sz val="13"/>
        <color indexed="56"/>
        <rFont val="Arial Cyr"/>
        <family val="0"/>
      </rPr>
      <t xml:space="preserve"> квалификационной категории :</t>
    </r>
  </si>
  <si>
    <r>
      <t>Высшей</t>
    </r>
    <r>
      <rPr>
        <sz val="13"/>
        <color indexed="56"/>
        <rFont val="Arial Cyr"/>
        <family val="0"/>
      </rPr>
      <t xml:space="preserve"> квалификационной категории:</t>
    </r>
  </si>
  <si>
    <t>Массаж плечевого сустава  (верхней трети плеча, области</t>
  </si>
  <si>
    <t>локтевого сустава и нижней трети предплечья)</t>
  </si>
  <si>
    <t>Массаж лучезапястного сустава (проксимального отдела кисти,</t>
  </si>
  <si>
    <r>
      <t xml:space="preserve">давления  - </t>
    </r>
    <r>
      <rPr>
        <b/>
        <i/>
        <sz val="13"/>
        <color indexed="18"/>
        <rFont val="Arial"/>
        <family val="2"/>
      </rPr>
      <t>СМАД</t>
    </r>
    <r>
      <rPr>
        <sz val="13"/>
        <color indexed="18"/>
        <rFont val="Arial"/>
        <family val="2"/>
      </rPr>
      <t>) стандартное</t>
    </r>
  </si>
  <si>
    <t>Прием больных с кожными заболеваниями</t>
  </si>
  <si>
    <t>до        деноминации</t>
  </si>
  <si>
    <t>после       деноминации</t>
  </si>
  <si>
    <t>Рентгенологические исследования - РАЙОННАЯ  ПОЛИКЛИНИКА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</si>
  <si>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ЭВМ</t>
  </si>
  <si>
    <t>Едини-ца</t>
  </si>
  <si>
    <t>Массаж области позвоночника(области задней поверхности шеи,спины и пояснично-крестцовой области  от левой до правой задней аксиллярной линии)</t>
  </si>
  <si>
    <t>Массаж нижней конечности</t>
  </si>
  <si>
    <t>Массаж  нижней  конечности и поясница  ( области стопы, голени, бедра, ягодичной и пояснично-крестцовой области)</t>
  </si>
  <si>
    <t xml:space="preserve">Массаж тазобедренного сустава  ( верхней трети бедра, области тазобедренного сустава и ягодичной области одноименной стороны ) </t>
  </si>
  <si>
    <t>Массаж  коленного  сустава   ( верхней трети голени,  области коленного сустава и нижней трети бедра )</t>
  </si>
  <si>
    <t>Массаж голеностопного сустава (проксимального отдела стопы, области голеностопного  сустава  и  нижней трети голени)</t>
  </si>
  <si>
    <t>июля</t>
  </si>
  <si>
    <t>01.07.2017г.</t>
  </si>
  <si>
    <t>Массаж стопы голени</t>
  </si>
  <si>
    <t>Наркология</t>
  </si>
  <si>
    <t>Медицинское освидетельствование</t>
  </si>
  <si>
    <t>4.1.</t>
  </si>
  <si>
    <t>Освидетельствование на допуск к работе</t>
  </si>
  <si>
    <t>освидетельствование</t>
  </si>
  <si>
    <t>4.2.</t>
  </si>
  <si>
    <t>Дерматовенерология (анонимно)</t>
  </si>
  <si>
    <t>Прием больных с инфекциями, педаваемыми половым путем</t>
  </si>
  <si>
    <t>Первичный прием больных с инфекциями, передаваемыми половым путем(мужчины)</t>
  </si>
  <si>
    <t>приём</t>
  </si>
  <si>
    <t>Повторный прием больных с инфекциями, передаваемыми половым путем(мужчины)</t>
  </si>
  <si>
    <t>Первичный прием больных с инфекциями, передаваемыми половым путем(женщины)</t>
  </si>
  <si>
    <t>Т.В. Подранецкая</t>
  </si>
  <si>
    <t>Повторный прием больных с инфекциями, передаваемыми половым путем(женщины)</t>
  </si>
  <si>
    <t>Первичный прием врачом-дерматовенерологом</t>
  </si>
  <si>
    <t>Повторный прием врачом-дерматовенерологом</t>
  </si>
  <si>
    <t xml:space="preserve">Манипуляции для лечения и диагностики инфекций, </t>
  </si>
  <si>
    <t>передаваемых половым путем (мужчины)</t>
  </si>
  <si>
    <t>Взятие материала на Neisseria gomorrhoeae и Trichomonas vaginalis из уретры</t>
  </si>
  <si>
    <t>манипуляция</t>
  </si>
  <si>
    <t>Взятие материала на Neisseria gomorrhoeae из уретры для исследования бактериологическим методом</t>
  </si>
  <si>
    <t>Взятие материала на Ureaplasma urealiticum из уретры для исследования бактериологическим методом</t>
  </si>
  <si>
    <t>Взятие материала на Micoplasma hominis из уретры для исследования бактериологическим методом</t>
  </si>
  <si>
    <t>Взятие материала на грибы рода Candida из уретры для исследования бактериологическим методом</t>
  </si>
  <si>
    <t>Взятие материала на дрожжевые грибы со слизистых оболочек гениталий для исследования микроскопическим методом</t>
  </si>
  <si>
    <t>Взятие материала на дрожжевые грибы со слизистых оболочек гениталий для исследования бактериологическим методом</t>
  </si>
  <si>
    <t>Взятие материала для комплексных исследований на патогенную и условнопатогенную флору (мазки,посевы,соскобы)</t>
  </si>
  <si>
    <t>Инстиляция уретры лекарственным препаратом</t>
  </si>
  <si>
    <t>Двухстаканная проба мочи</t>
  </si>
  <si>
    <t>Механическое  удаление  одного  элемента контагиозного моллюска в аногенитальной области</t>
  </si>
  <si>
    <t>передаваемых половым путем  (женщины)</t>
  </si>
  <si>
    <t>Взятие материала на Neisseria gomorrhoeae и Trichomonas vaginalis из уретры и  цервикального  канала</t>
  </si>
  <si>
    <t>Взятие материала на "ключевые "  клетки  из  заднего  свода  влагалища  для микроскопического исследования</t>
  </si>
  <si>
    <t>Взятие материала на Neisseria gomorrhoeae из уретры и церви-кального канала  для исследования бактериологическим методом</t>
  </si>
  <si>
    <t>Взятие материала на Ureaplasma urealiticum из уретры и церви-кального канала для исследования бактериологическим методом</t>
  </si>
  <si>
    <t>Взятие  материала  на  Micoplasma hominis  из  уретры  и  церви-кального канала для исследования бактериологическим методом</t>
  </si>
  <si>
    <t>Взятие материала на Candida albicans  из  уретры  и  цервикального  канала для исследования бактериологическим методом</t>
  </si>
  <si>
    <t>Взятие материала на дрожжевые  грибы  со  слизистых  оболочек  гениталий для исследования микроскопическим методом</t>
  </si>
  <si>
    <t>Взятие материала из заднего свода влагалища для исследования отделяемого половых органов на микрофлору и степень чистоты влагалища</t>
  </si>
  <si>
    <t>Взятие  материала  из  заднего  свода  влагалища  для  исследования отделяемого половых рганов на Trichomonas vaginalis в нативном препарате</t>
  </si>
  <si>
    <t>Лечебная ванночка с лекарственным препаратом</t>
  </si>
  <si>
    <t>Введение влагалищного тампона с лекарственным препаратом</t>
  </si>
  <si>
    <t>Механическое  удаление  одного элемента  контагиозного моллюска в аногенитальной области</t>
  </si>
  <si>
    <t>Акушерство и гинекология</t>
  </si>
  <si>
    <t>Введение внутриматочного средства контрацепции</t>
  </si>
  <si>
    <t>операция</t>
  </si>
  <si>
    <t>Удаление внутриматочного средства контрацепции</t>
  </si>
  <si>
    <t>Вакуум-мини-аборт с обезболиванием</t>
  </si>
  <si>
    <t>Медицинский аборт с обследованием и обезболиванием</t>
  </si>
  <si>
    <t>Кольпоскопия простая</t>
  </si>
  <si>
    <t>исследование</t>
  </si>
  <si>
    <t>Кольпоскопия расширенная с цитологией и биопсией шейки матки</t>
  </si>
  <si>
    <t>7.1.</t>
  </si>
  <si>
    <t>Предварительные медосмотры лиц при поступлении на работу</t>
  </si>
  <si>
    <t>и периодические профосмотры трудящихся</t>
  </si>
  <si>
    <t>Осмотры врачами-специалистами:</t>
  </si>
  <si>
    <t>Врачом-терапевтом</t>
  </si>
  <si>
    <t>осмотр</t>
  </si>
  <si>
    <t>Врачом-неврологом</t>
  </si>
  <si>
    <t>Врачом-офтальмологом</t>
  </si>
  <si>
    <t>Врачом-оториноларингологом</t>
  </si>
  <si>
    <t>Врачом-хирургом</t>
  </si>
  <si>
    <t>Врачом-акушером-гинекологом</t>
  </si>
  <si>
    <t>Врачом -фтизиатром</t>
  </si>
  <si>
    <t>Врачом-психиатром</t>
  </si>
  <si>
    <t>Врачом-инфекционистом</t>
  </si>
  <si>
    <t>Врачом-дерматовенерологом</t>
  </si>
  <si>
    <t>Врачом-урологом</t>
  </si>
  <si>
    <t>Врачом-наркологом</t>
  </si>
  <si>
    <t>Врачом-стоматологом</t>
  </si>
  <si>
    <t>Вынесение вр.-специалистом заключительного экспертного решения</t>
  </si>
  <si>
    <t>услуга</t>
  </si>
  <si>
    <t>Регистрация освидетельствуемого медицинским регистратором</t>
  </si>
  <si>
    <t>Функциональные исследования</t>
  </si>
  <si>
    <t>Холодовая проба</t>
  </si>
  <si>
    <t>Вибрационная чувствительность</t>
  </si>
  <si>
    <t>Аудиометрия</t>
  </si>
  <si>
    <t>Вращательная проба</t>
  </si>
  <si>
    <t>Динамометрия</t>
  </si>
  <si>
    <t>8.1.</t>
  </si>
  <si>
    <t xml:space="preserve">Медосвидетельствование граждан для получения разрешения на </t>
  </si>
  <si>
    <t xml:space="preserve">приобретение,  хранение, ношение оружия  и  боеприпасов </t>
  </si>
  <si>
    <t>=</t>
  </si>
  <si>
    <t>Осмотры врачами-специалистами</t>
  </si>
  <si>
    <t>8.2.</t>
  </si>
  <si>
    <t>Медосвидетельствование водителей на право управления</t>
  </si>
  <si>
    <t>Мужчины</t>
  </si>
  <si>
    <t xml:space="preserve">автотранспортом       и          медосвидетельствование       и </t>
  </si>
  <si>
    <t>Женщины</t>
  </si>
  <si>
    <t>переосвидетельствование судоводителей маломерных  судов</t>
  </si>
  <si>
    <t>Регистрация   освидетельствуемого  медицинским   регистратором</t>
  </si>
  <si>
    <t>8.3.</t>
  </si>
  <si>
    <t>Медосвидетельствование  лиц , выезжающих за рубеж в командировки</t>
  </si>
  <si>
    <t>Оказание медико-социальной помощи по желанию граждан</t>
  </si>
  <si>
    <t>койко-день</t>
  </si>
  <si>
    <t>или их законных представителей в стационарных условиях</t>
  </si>
  <si>
    <t>в стационарных учреждениях здравоохранения</t>
  </si>
  <si>
    <t>ИНСТРУМЕНТАЛЬНАЯ   ДИАГНОСТИКА</t>
  </si>
  <si>
    <t xml:space="preserve">Рентгенологические исследования </t>
  </si>
  <si>
    <t>-</t>
  </si>
  <si>
    <t>плёночные аппараты</t>
  </si>
  <si>
    <t>Рентгеноскопия органов грудной полости</t>
  </si>
  <si>
    <t>Рентгенография (обзорная)  грудной полости</t>
  </si>
  <si>
    <t>в одной проекции</t>
  </si>
  <si>
    <t>в двух проекциях</t>
  </si>
  <si>
    <t>Линейная томография</t>
  </si>
  <si>
    <t>первый снимок</t>
  </si>
  <si>
    <t>каждый последующий</t>
  </si>
  <si>
    <t>Рентгенография сердца с контрастированным пищеводом</t>
  </si>
  <si>
    <t>Рентгенография гортани</t>
  </si>
  <si>
    <t>Флюорография профилактическая</t>
  </si>
  <si>
    <t>Флюорография диагностическая</t>
  </si>
  <si>
    <t>Анализ флюорограммы</t>
  </si>
  <si>
    <t>Рентгеноскопия (обзорная) брюшной полости</t>
  </si>
  <si>
    <t>Рентгенография (обзорная) брюшной полости</t>
  </si>
  <si>
    <t>Самостоятельная рентгеноскопия и рентгенография пищевода</t>
  </si>
  <si>
    <t>Рентгеноскопия и рентгенография желудка по традиционной методике</t>
  </si>
  <si>
    <t>Рентгенография отдела позвоночника</t>
  </si>
  <si>
    <t>Рентгенография периферических отделов скелета</t>
  </si>
  <si>
    <t>Рентгенография черепа</t>
  </si>
  <si>
    <t>Рентгенография придаточных пазух носа</t>
  </si>
  <si>
    <t>Рентгенография височно-челюстного сустава</t>
  </si>
  <si>
    <t xml:space="preserve">Рентгенография нижней челюсти </t>
  </si>
  <si>
    <t>Рентгенография костей носа</t>
  </si>
  <si>
    <t>Рентгенография височной кости</t>
  </si>
  <si>
    <t>Рентгенография ключицы</t>
  </si>
  <si>
    <t>Рентгенография лопатки в двух проекциях</t>
  </si>
  <si>
    <t>Рентгенография ребер</t>
  </si>
  <si>
    <t>Рентгенография грудины</t>
  </si>
  <si>
    <t>Функциональное исследование позвоночника</t>
  </si>
  <si>
    <t>Рентгенография костей таза</t>
  </si>
  <si>
    <t>Рентгенография мягких тканей</t>
  </si>
  <si>
    <t>За каждый последующий снимок в специальных проекциях</t>
  </si>
  <si>
    <t>Заочная консультация по предоставленным рентгенограммам с</t>
  </si>
  <si>
    <t>оформлением протокола</t>
  </si>
  <si>
    <t>аппарат "Унискан"</t>
  </si>
  <si>
    <t>Ирригоскопия</t>
  </si>
  <si>
    <t>Ирригоскопия с двойным контрастированием</t>
  </si>
  <si>
    <t>Экскреторная урография</t>
  </si>
  <si>
    <t>Ретроградная пиелография</t>
  </si>
  <si>
    <t>Уретрография</t>
  </si>
  <si>
    <t>Ретроградная цистография</t>
  </si>
  <si>
    <t>Метросальпингография</t>
  </si>
  <si>
    <t xml:space="preserve">(на   рентгеновских   компьютерных   томографах   со </t>
  </si>
  <si>
    <t>спиральной многосрезовой технологией сканирования)</t>
  </si>
  <si>
    <t>рентгеновская компьютерная томография головного мозга</t>
  </si>
  <si>
    <t>без контрастного  усиления</t>
  </si>
  <si>
    <t>с контрастным  усилением</t>
  </si>
  <si>
    <t>рентгеновская компьютерная томография лицевого черепа</t>
  </si>
  <si>
    <t>рентгеновская компьютерная томография шеи</t>
  </si>
  <si>
    <t>рентгеновская компьютерная томография грудной полости</t>
  </si>
  <si>
    <t>рентгеновская компьютерная томография брюшной полости</t>
  </si>
  <si>
    <t>рентгеновская компьютерная томография таза</t>
  </si>
  <si>
    <t>рентгеновская компьютерная томография позвоночного сегмента</t>
  </si>
  <si>
    <t>рентгеновская компьютерная томография отдела позвоника</t>
  </si>
  <si>
    <t>рентгеновская компьютерная томография костей и суставов</t>
  </si>
  <si>
    <t>КТ-ангиография</t>
  </si>
  <si>
    <t>Специальные методы обработки изображений</t>
  </si>
  <si>
    <t>20.1.</t>
  </si>
  <si>
    <t>МРR, MIP, MinIP, SSD, криволинейная реконструкция</t>
  </si>
  <si>
    <t>20.2.</t>
  </si>
  <si>
    <t>объемное восстановление с цветным картированием</t>
  </si>
  <si>
    <t>20.3.</t>
  </si>
  <si>
    <t>подсчет объема</t>
  </si>
  <si>
    <t>20.4.</t>
  </si>
  <si>
    <t>виртуальная эндоскопия</t>
  </si>
  <si>
    <t>20.5.</t>
  </si>
  <si>
    <t>сравнение КТ-исследований в динамике</t>
  </si>
  <si>
    <t>20.6.</t>
  </si>
  <si>
    <t>Энцевир</t>
  </si>
  <si>
    <t>прикладные органоспецифические программы</t>
  </si>
  <si>
    <t>(остеоденситометрия, стоматологические,пульмонологические,</t>
  </si>
  <si>
    <t>перфузионные, сосудистые, кардиологические и др.)</t>
  </si>
  <si>
    <t>20.7.</t>
  </si>
  <si>
    <t>особо трудоемкие программы одновременного количественного</t>
  </si>
  <si>
    <t>определения и реконструкции (восстановление частичного</t>
  </si>
  <si>
    <t xml:space="preserve">объема, динамическая оценка объема,подсчет количества и </t>
  </si>
  <si>
    <t>объема множественных патологических фокусов)</t>
  </si>
  <si>
    <t>Ультразвуковая диагностика</t>
  </si>
  <si>
    <t>Ультразвуковые исследования органов брюшной полости</t>
  </si>
  <si>
    <t>Печень и желчный пузырь без определения функции</t>
  </si>
  <si>
    <t>на цветных ультразвуковых аппаратах с допплером</t>
  </si>
  <si>
    <t>на черно-белых ультразвуковых аппаратах</t>
  </si>
  <si>
    <t>Печень и желчный пузырь с определением функции</t>
  </si>
  <si>
    <t>Поджелудочная железа</t>
  </si>
  <si>
    <t>Селезёнка</t>
  </si>
  <si>
    <t>Ультразвуковые исследования органов мочеполовой системы</t>
  </si>
  <si>
    <t>Почки и надпочечники</t>
  </si>
  <si>
    <t>2.3.</t>
  </si>
  <si>
    <t>Внутримышечная инъекция</t>
  </si>
  <si>
    <t>Внутривенное капельное введение лекарственных средств</t>
  </si>
  <si>
    <t>внутривенное капельное введение раствора лекарственного средства объемом 200мл</t>
  </si>
  <si>
    <t>внутривенное капельное введение раствора лекарственного средства объемом  400мл</t>
  </si>
  <si>
    <t>внутривенное капельное введение раствора лекарственного средства объемом 800мл</t>
  </si>
  <si>
    <t>Подкожная инъекция</t>
  </si>
  <si>
    <t>Внутривенное струйное введение лекарственных средств</t>
  </si>
  <si>
    <t>Внутрикожная инъекция</t>
  </si>
  <si>
    <t>Измерение артериального давления</t>
  </si>
  <si>
    <t>МАНИПУЛЯЦИИ   ОБЩЕГО  НАЗНАЧЕНИЯ</t>
  </si>
  <si>
    <t>ДЛЯ ГРАЖДАН РБ   и    ГРАЖДАН СТРАН СНГ  С  ВИДОМ  НА  ЖИТЕЛЬСТВО  в  РБ</t>
  </si>
  <si>
    <t>Мочевой пузырь</t>
  </si>
  <si>
    <t>вводится с   09 марта 2016 года</t>
  </si>
  <si>
    <t>Мочевой пузырь с определением остаточной мочи</t>
  </si>
  <si>
    <t>Почки , надпочечники и мочевой пузырь</t>
  </si>
  <si>
    <t xml:space="preserve">Почки,надпочечники и мочевой пузырь с определением </t>
  </si>
  <si>
    <t>остаточной мочи</t>
  </si>
  <si>
    <t>Предстательная железа с мочевым пузырем и определением</t>
  </si>
  <si>
    <t>остаточной мочи (трансабдоминально)</t>
  </si>
  <si>
    <t>Мошонка</t>
  </si>
  <si>
    <t>Половой член</t>
  </si>
  <si>
    <t>Матка и придатки с мочевым пузырем (трансабдоминально)</t>
  </si>
  <si>
    <t>Матка и придатки (трансвагинально)</t>
  </si>
  <si>
    <t>Плод в I триместре до 11недель беременности</t>
  </si>
  <si>
    <t>Плод в I триместре   с 11  до  14 недель беременности</t>
  </si>
  <si>
    <t>Плод во II или III триместрах беременности</t>
  </si>
  <si>
    <t>Плод в I триместре с 11 до 14 недель  или во II или III триместрах</t>
  </si>
  <si>
    <t>беременности при наличии пороков плода</t>
  </si>
  <si>
    <t xml:space="preserve">Органы брюшной полости и почки  ( печень и желчный пузырь без </t>
  </si>
  <si>
    <t xml:space="preserve">определения функции, поджелудочная железа, селезенка, почки и надпочечники, </t>
  </si>
  <si>
    <t>кишечник без заполнения жидкостью)</t>
  </si>
  <si>
    <t>Ультразвуковые  исследования  других  органов</t>
  </si>
  <si>
    <t>Щитовидная железа с лимфатическими поверхностными узлами</t>
  </si>
  <si>
    <t>Молочные железы  с лимфатическими поверхностными узлами</t>
  </si>
  <si>
    <t>Слюнные железы  ( или подчелюстные , или околоушные)</t>
  </si>
  <si>
    <t>Мягкие  ткани</t>
  </si>
  <si>
    <t>Внутренние органы новорожденного</t>
  </si>
  <si>
    <t>Плевральная полость</t>
  </si>
  <si>
    <t>Лимфатические узлы (одна область с обеих сторон)</t>
  </si>
  <si>
    <t>Мышцы (одна группа с обеих сторон)</t>
  </si>
  <si>
    <t>Специальные ультразвуковые исследования</t>
  </si>
  <si>
    <t>Эхокардиография сердца и плода с двойной допплерографией</t>
  </si>
  <si>
    <t>Дупплексное сканирование сосудов плода и матки</t>
  </si>
  <si>
    <t>Биофизический профиль плода</t>
  </si>
  <si>
    <t>Эхокардиография (М-В режим)</t>
  </si>
  <si>
    <t>Эхокардиография (М+В режим+допплер+цветное картирование)</t>
  </si>
  <si>
    <t>Ультразвуковая допплерография одного артериального бассейна (брахиоцефальных артерий или артерий верхних конечностей, или артерий нижних конечностей)</t>
  </si>
  <si>
    <t>Ультразвуковая допплерография одного венозного бассейна (брахиоцефальных вен или вен верхних конечностей, или вен нижних конечностей)</t>
  </si>
  <si>
    <t>Эхоэнцефалография (М-эхо)</t>
  </si>
  <si>
    <t>Эндоскопические  диагностические исследования</t>
  </si>
  <si>
    <t>Эзофагогастродуоденоскопия</t>
  </si>
  <si>
    <t>Прочие манипуляции</t>
  </si>
  <si>
    <t>Взятие биопсийного материала на гистологическое исследование</t>
  </si>
  <si>
    <t>Количественное определение АСЛО</t>
  </si>
  <si>
    <t>Количественное определение С-реактивного белка</t>
  </si>
  <si>
    <t>Количественное определение ревматоидного фактора</t>
  </si>
  <si>
    <t>Гликолизированный гемоглобин</t>
  </si>
  <si>
    <t>Взятие материала на цитологическое исследование</t>
  </si>
  <si>
    <t>Консультации врачей-специалистов</t>
  </si>
  <si>
    <t>Районная поликлиника</t>
  </si>
  <si>
    <t>терапевтического профиля</t>
  </si>
  <si>
    <t>консультация</t>
  </si>
  <si>
    <t>хирургического профиля</t>
  </si>
  <si>
    <t>Иммунопрофилактика</t>
  </si>
  <si>
    <t>Проведение процедуры вакцинации</t>
  </si>
  <si>
    <t>(без стоимости вакцины)</t>
  </si>
  <si>
    <t>Стерилизация биксов в паровом стерилизаторе (автоклаве)</t>
  </si>
  <si>
    <t>1 бикс</t>
  </si>
  <si>
    <t>Услуги иностранным гражданам</t>
  </si>
  <si>
    <t>1.</t>
  </si>
  <si>
    <t>2.</t>
  </si>
  <si>
    <t>автотранспортом   и   медосвидетельствование</t>
  </si>
  <si>
    <t>и переосвидетельствование судоводителей маломерных судов</t>
  </si>
  <si>
    <t>Осмотр :</t>
  </si>
  <si>
    <t>3.</t>
  </si>
  <si>
    <t>Услуги по акушерству и гинекологии</t>
  </si>
  <si>
    <t>Первичный прием врача акушера-гинеколога</t>
  </si>
  <si>
    <t>прием</t>
  </si>
  <si>
    <t>Повторный прием врача акушера-гинеколога</t>
  </si>
  <si>
    <t>4.</t>
  </si>
  <si>
    <t>Хирургические манипуляции</t>
  </si>
  <si>
    <t>Первичный прием врача-хирурга</t>
  </si>
  <si>
    <t>Повторный прием врача-хирурга</t>
  </si>
  <si>
    <t>Наложение гипсовой лангеты</t>
  </si>
  <si>
    <t>манипуляц.</t>
  </si>
  <si>
    <t>Вправление вывиха</t>
  </si>
  <si>
    <t>5.</t>
  </si>
  <si>
    <t>Офтальмология</t>
  </si>
  <si>
    <t>Первичный прием врача-офтальмолога</t>
  </si>
  <si>
    <t>Повторный прием врача-офтальмолога</t>
  </si>
  <si>
    <t>Исследование полей зрения (периметрия)</t>
  </si>
  <si>
    <t>Исследование переднего отрезка глаза с помощью щелевой</t>
  </si>
  <si>
    <t>лампы (биомикроскопия)</t>
  </si>
  <si>
    <t>Измерение внутриглазного давления (тонометрия)</t>
  </si>
  <si>
    <t>Авторефрактометрия</t>
  </si>
  <si>
    <t>Кератометрия</t>
  </si>
  <si>
    <t>6.</t>
  </si>
  <si>
    <t>Оториноларингология</t>
  </si>
  <si>
    <t>Первичный прием врача-оториноларинголога</t>
  </si>
  <si>
    <t>Повторный прием врача-оториноларинголога</t>
  </si>
  <si>
    <t>Удаление серной пробки</t>
  </si>
  <si>
    <t>Удаление инородного тела из уха</t>
  </si>
  <si>
    <t>Промывание лакун миндалин</t>
  </si>
  <si>
    <t>Удаление инородного тела из гортаноглотки</t>
  </si>
  <si>
    <t>Удаление инородного тела из носа</t>
  </si>
  <si>
    <t>7.</t>
  </si>
  <si>
    <t>Прием врачами-специалистами</t>
  </si>
  <si>
    <t>Первичный прием врача-инфекциониста</t>
  </si>
  <si>
    <t>Повторный прием врача-инфекциониста</t>
  </si>
  <si>
    <t>Первичный прием врача-кардиолога</t>
  </si>
  <si>
    <t>Повторный прием врача-кардиолога</t>
  </si>
  <si>
    <t>Первичный прием врача-эндокринолога</t>
  </si>
  <si>
    <t>Повторный прием врача-эндокринолога</t>
  </si>
  <si>
    <t>Пентаксим</t>
  </si>
  <si>
    <t>апреля</t>
  </si>
  <si>
    <t>вводится с   15 апреля 2016 года</t>
  </si>
  <si>
    <t xml:space="preserve">Т.В. Подранецкая </t>
  </si>
  <si>
    <t>Начальник  ПЭО</t>
  </si>
  <si>
    <t>В.К.Лысая</t>
  </si>
  <si>
    <t>Экономист</t>
  </si>
  <si>
    <t>Е.О.Андреева</t>
  </si>
  <si>
    <t>на платную медицинскую услугу по наркологии</t>
  </si>
  <si>
    <t>"Лечение синдрома отмены алкоголя (анонимно)" ,</t>
  </si>
  <si>
    <t>оказываемую  в  отделении  анестезиологии  и  реанимации</t>
  </si>
  <si>
    <t>№ п/п</t>
  </si>
  <si>
    <t>к-во</t>
  </si>
  <si>
    <t xml:space="preserve">                   Ц Е Н А</t>
  </si>
  <si>
    <t xml:space="preserve">           И Т О Г О</t>
  </si>
  <si>
    <t>приёмов,</t>
  </si>
  <si>
    <t xml:space="preserve">      с т о и м о с т ь</t>
  </si>
  <si>
    <t>В С Е Г О</t>
  </si>
  <si>
    <t>Н а и м е н о в а н и е</t>
  </si>
  <si>
    <t>Единица</t>
  </si>
  <si>
    <t>исследо-</t>
  </si>
  <si>
    <t>одного</t>
  </si>
  <si>
    <t>исполь-</t>
  </si>
  <si>
    <t>у с л у г и</t>
  </si>
  <si>
    <t>измерения</t>
  </si>
  <si>
    <t>ваний,</t>
  </si>
  <si>
    <t>приёма,</t>
  </si>
  <si>
    <t>зуемых</t>
  </si>
  <si>
    <t>ц е н а</t>
  </si>
  <si>
    <t>териалов</t>
  </si>
  <si>
    <t>работы</t>
  </si>
  <si>
    <t>медика-</t>
  </si>
  <si>
    <t xml:space="preserve">с </t>
  </si>
  <si>
    <t>вания,</t>
  </si>
  <si>
    <t>и медика-</t>
  </si>
  <si>
    <t>ментов</t>
  </si>
  <si>
    <t>округлением</t>
  </si>
  <si>
    <t>I .</t>
  </si>
  <si>
    <t>Услуги согласно утверждённым прейскурантам :</t>
  </si>
  <si>
    <t>Консультация зав.ОАР</t>
  </si>
  <si>
    <t>Синица А.С. врач  1 кат.</t>
  </si>
  <si>
    <t>Лабораторные исследования :</t>
  </si>
  <si>
    <t>3.1.</t>
  </si>
  <si>
    <t>регистрация материала, данных</t>
  </si>
  <si>
    <t>регистрация</t>
  </si>
  <si>
    <t>пациента</t>
  </si>
  <si>
    <t>3.2.</t>
  </si>
  <si>
    <t>взятие крови из пальца</t>
  </si>
  <si>
    <t>проба</t>
  </si>
  <si>
    <t>3.3.</t>
  </si>
  <si>
    <t>забор крови из вены</t>
  </si>
  <si>
    <t>3.4.</t>
  </si>
  <si>
    <t>обработка венозной крови</t>
  </si>
  <si>
    <t>3.5.</t>
  </si>
  <si>
    <t>развёрнутый анализ крови</t>
  </si>
  <si>
    <t>3.6.</t>
  </si>
  <si>
    <t>ОАМ</t>
  </si>
  <si>
    <t>3.7.</t>
  </si>
  <si>
    <t>группа крови</t>
  </si>
  <si>
    <t>мая</t>
  </si>
  <si>
    <t>вводится с   24 мая 2017 года</t>
  </si>
  <si>
    <t>3.8.</t>
  </si>
  <si>
    <t>мочевина сыворотки крови</t>
  </si>
  <si>
    <t>3.9.</t>
  </si>
  <si>
    <t>глюкоза сыворотки крови</t>
  </si>
  <si>
    <t>3.10.</t>
  </si>
  <si>
    <t>ALAT</t>
  </si>
  <si>
    <t>3.11.</t>
  </si>
  <si>
    <t>ASAT</t>
  </si>
  <si>
    <t>ЭКГ</t>
  </si>
  <si>
    <t>I I .</t>
  </si>
  <si>
    <t>Используемые материалы и медикаменты :</t>
  </si>
  <si>
    <t>NaCl  0,9%</t>
  </si>
  <si>
    <t>флакон</t>
  </si>
  <si>
    <t>Глюкоза 5%</t>
  </si>
  <si>
    <t>ампула</t>
  </si>
  <si>
    <t>Система</t>
  </si>
  <si>
    <t>шт.</t>
  </si>
  <si>
    <t>Диазепам</t>
  </si>
  <si>
    <t>на платные медицинские услуги по акушерству и гинекологии</t>
  </si>
  <si>
    <t>измере-ния</t>
  </si>
  <si>
    <t>Предоставление родовспомогательных услуг</t>
  </si>
  <si>
    <t>Индивидуальный уход за родильницей в послеродовом периоде</t>
  </si>
  <si>
    <t>1 койко-день</t>
  </si>
  <si>
    <t>Индивидуальный уход зановорожденным в послеродовом периоде</t>
  </si>
  <si>
    <t>Индивидуальное ведение родов:</t>
  </si>
  <si>
    <t>операция кесарево сечение + сбалансированная анестезия с искусственной вентиляцией легких (ИВЛ)</t>
  </si>
  <si>
    <t>роды</t>
  </si>
  <si>
    <t>операция кесарево сечение + спинальная анестезия</t>
  </si>
  <si>
    <t>Индивидуальное ведение родов с обезболиванием</t>
  </si>
  <si>
    <t>,</t>
  </si>
  <si>
    <t>Проведение медицинского освидетельствования для установления факта употребления алкоголя, наркотических средств, психотропных, токсических или других одурманивающих веществ и состояния опьянения, вызванного употреблением алкоголя, наркотических средств, психотропных, токсических и других одурманивающих веществ, по желанию граждан</t>
  </si>
  <si>
    <t>Карбомазепин</t>
  </si>
  <si>
    <t>таблетки</t>
  </si>
  <si>
    <t>ИТОГО:</t>
  </si>
  <si>
    <t>И Т О Г О</t>
  </si>
  <si>
    <t>с учётом округления</t>
  </si>
  <si>
    <t>платных медицинских услуг Слонимской ЦРБ по лабораторной диагностике</t>
  </si>
  <si>
    <t>Стои-</t>
  </si>
  <si>
    <t>мость</t>
  </si>
  <si>
    <t xml:space="preserve">отпускная </t>
  </si>
  <si>
    <t>единич-</t>
  </si>
  <si>
    <t>каждое</t>
  </si>
  <si>
    <t>измере-</t>
  </si>
  <si>
    <t>ное</t>
  </si>
  <si>
    <t>после-</t>
  </si>
  <si>
    <t>ния</t>
  </si>
  <si>
    <t>дующее</t>
  </si>
  <si>
    <t xml:space="preserve"> (руб.)</t>
  </si>
  <si>
    <t>Лабораторная диагностика</t>
  </si>
  <si>
    <t>Отдельные операции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</si>
  <si>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</t>
  </si>
  <si>
    <t>регистра-</t>
  </si>
  <si>
    <t>ция</t>
  </si>
  <si>
    <t>взятие крови из пальца для гематологических (исследование 1-го показателя),биохимических или исследований протромбинового времени</t>
  </si>
  <si>
    <t>взятие крови из пальца для всего спектра гематологических исследований в понятии "общий анализ крови", включая лейкоцитарную формулу</t>
  </si>
  <si>
    <t>обработка венозной крови для получения плазмы или сыворотки</t>
  </si>
  <si>
    <t>Общеклинические исследования</t>
  </si>
  <si>
    <t xml:space="preserve"> Исследование мочи</t>
  </si>
  <si>
    <t>определение количества, цвета, прозрачности, наличия осадка, относительной плотности, pH</t>
  </si>
  <si>
    <t>исследов.</t>
  </si>
  <si>
    <t>обнаружение глюкозы экспресс-тестом</t>
  </si>
  <si>
    <t>определение белка с сульфосалициловой кислотой</t>
  </si>
  <si>
    <t>обнаружение кетоновых тел экспресс-тестом</t>
  </si>
  <si>
    <t>обнаружение билирубина экспресс-тестом</t>
  </si>
  <si>
    <t>обнаружение уробилиновых тел экспресс-тестом</t>
  </si>
  <si>
    <t>микроскопическое исследование осадка в норме</t>
  </si>
  <si>
    <t>Исследование  эякулята человека</t>
  </si>
  <si>
    <t>инструктаж по получению и доставке материала</t>
  </si>
  <si>
    <t>микроскопия</t>
  </si>
  <si>
    <t>Гематологические исследования</t>
  </si>
  <si>
    <t>определение гемоглобина гемоглобин-цианидным методом</t>
  </si>
  <si>
    <t>подсчет эритроцитов в счетной камере</t>
  </si>
  <si>
    <t>подсчет ретикулоцитов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</si>
</sst>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_(* #,##0.0_);_(* \(#,##0.0\);_(* &quot;-&quot;??_);_(@_)"/>
    <numFmt numFmtId="188" formatCode="_(* #,##0_);_(* \(#,##0\);_(* &quot;-&quot;??_);_(@_)"/>
    <numFmt numFmtId="189" formatCode="#,##0.0"/>
    <numFmt numFmtId="190" formatCode="0.0000"/>
    <numFmt numFmtId="191" formatCode="#,##0.000"/>
    <numFmt numFmtId="192" formatCode="0.0%"/>
    <numFmt numFmtId="193" formatCode="_(* #,##0.000_);_(* \(#,##0.000\);_(* &quot;-&quot;??_);_(@_)"/>
    <numFmt numFmtId="194" formatCode="0.00000"/>
    <numFmt numFmtId="195" formatCode="0.000000"/>
    <numFmt numFmtId="196" formatCode="0.0000000"/>
    <numFmt numFmtId="197" formatCode="0.00000000"/>
  </numFmts>
  <fonts count="479">
    <font>
      <sz val="10"/>
      <name val="Arial"/>
      <family val="0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0"/>
      <color indexed="17"/>
      <name val="Arial"/>
      <family val="2"/>
    </font>
    <font>
      <b/>
      <i/>
      <u val="single"/>
      <sz val="20"/>
      <color indexed="56"/>
      <name val="Arial"/>
      <family val="2"/>
    </font>
    <font>
      <b/>
      <i/>
      <u val="single"/>
      <sz val="14"/>
      <color indexed="56"/>
      <name val="Arial"/>
      <family val="2"/>
    </font>
    <font>
      <b/>
      <i/>
      <u val="single"/>
      <sz val="13"/>
      <color indexed="56"/>
      <name val="Arial"/>
      <family val="2"/>
    </font>
    <font>
      <b/>
      <i/>
      <sz val="12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i/>
      <sz val="8"/>
      <name val="Arial"/>
      <family val="2"/>
    </font>
    <font>
      <b/>
      <sz val="11"/>
      <color indexed="56"/>
      <name val="Arial"/>
      <family val="2"/>
    </font>
    <font>
      <sz val="12"/>
      <color indexed="56"/>
      <name val="Arial Cyr"/>
      <family val="0"/>
    </font>
    <font>
      <sz val="7"/>
      <color indexed="56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i/>
      <u val="single"/>
      <sz val="12"/>
      <color indexed="56"/>
      <name val="Arial"/>
      <family val="2"/>
    </font>
    <font>
      <b/>
      <sz val="9"/>
      <color indexed="56"/>
      <name val="Arial"/>
      <family val="2"/>
    </font>
    <font>
      <i/>
      <sz val="12"/>
      <color indexed="56"/>
      <name val="Arial Cyr"/>
      <family val="2"/>
    </font>
    <font>
      <sz val="11"/>
      <color indexed="56"/>
      <name val="Arial Cyr"/>
      <family val="2"/>
    </font>
    <font>
      <sz val="11"/>
      <color indexed="56"/>
      <name val="Arial"/>
      <family val="2"/>
    </font>
    <font>
      <sz val="10"/>
      <color indexed="58"/>
      <name val="Arial"/>
      <family val="2"/>
    </font>
    <font>
      <sz val="7"/>
      <color indexed="58"/>
      <name val="Arial"/>
      <family val="2"/>
    </font>
    <font>
      <sz val="12"/>
      <color indexed="58"/>
      <name val="Arial"/>
      <family val="2"/>
    </font>
    <font>
      <sz val="8"/>
      <color indexed="58"/>
      <name val="Arial"/>
      <family val="2"/>
    </font>
    <font>
      <b/>
      <i/>
      <sz val="12"/>
      <color indexed="58"/>
      <name val="Arial"/>
      <family val="2"/>
    </font>
    <font>
      <b/>
      <u val="single"/>
      <sz val="11"/>
      <color indexed="56"/>
      <name val="Arial"/>
      <family val="2"/>
    </font>
    <font>
      <i/>
      <sz val="12"/>
      <color indexed="56"/>
      <name val="Arial"/>
      <family val="2"/>
    </font>
    <font>
      <sz val="9"/>
      <color indexed="17"/>
      <name val="Arial"/>
      <family val="2"/>
    </font>
    <font>
      <b/>
      <sz val="12"/>
      <color indexed="56"/>
      <name val="Arial"/>
      <family val="2"/>
    </font>
    <font>
      <b/>
      <i/>
      <sz val="11"/>
      <color indexed="17"/>
      <name val="Arial"/>
      <family val="2"/>
    </font>
    <font>
      <b/>
      <i/>
      <u val="single"/>
      <sz val="12"/>
      <color indexed="17"/>
      <name val="Arial"/>
      <family val="2"/>
    </font>
    <font>
      <b/>
      <i/>
      <sz val="11"/>
      <color indexed="56"/>
      <name val="Arial"/>
      <family val="2"/>
    </font>
    <font>
      <b/>
      <i/>
      <sz val="10"/>
      <color indexed="56"/>
      <name val="Arial"/>
      <family val="2"/>
    </font>
    <font>
      <b/>
      <i/>
      <u val="single"/>
      <sz val="11"/>
      <color indexed="56"/>
      <name val="Arial"/>
      <family val="2"/>
    </font>
    <font>
      <b/>
      <i/>
      <u val="single"/>
      <sz val="10"/>
      <color indexed="56"/>
      <name val="Arial"/>
      <family val="2"/>
    </font>
    <font>
      <b/>
      <i/>
      <u val="single"/>
      <sz val="12"/>
      <color indexed="56"/>
      <name val="Arial"/>
      <family val="2"/>
    </font>
    <font>
      <b/>
      <i/>
      <u val="single"/>
      <sz val="13"/>
      <color indexed="56"/>
      <name val="Arial Cyr"/>
      <family val="2"/>
    </font>
    <font>
      <b/>
      <i/>
      <sz val="12"/>
      <color indexed="56"/>
      <name val="Arial Cyr"/>
      <family val="2"/>
    </font>
    <font>
      <b/>
      <i/>
      <u val="single"/>
      <sz val="12"/>
      <color indexed="56"/>
      <name val="Arial Cyr"/>
      <family val="2"/>
    </font>
    <font>
      <b/>
      <sz val="11"/>
      <color indexed="18"/>
      <name val="Times New Roman"/>
      <family val="1"/>
    </font>
    <font>
      <b/>
      <sz val="12"/>
      <color indexed="18"/>
      <name val="Arial"/>
      <family val="2"/>
    </font>
    <font>
      <sz val="8"/>
      <color indexed="18"/>
      <name val="Times New Roman"/>
      <family val="1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sz val="11"/>
      <color indexed="18"/>
      <name val="Times New Roman"/>
      <family val="1"/>
    </font>
    <font>
      <i/>
      <sz val="12"/>
      <color indexed="18"/>
      <name val="Arial"/>
      <family val="2"/>
    </font>
    <font>
      <b/>
      <i/>
      <u val="single"/>
      <sz val="9"/>
      <color indexed="56"/>
      <name val="Arial Cyr"/>
      <family val="2"/>
    </font>
    <font>
      <sz val="9"/>
      <color indexed="18"/>
      <name val="Arial"/>
      <family val="2"/>
    </font>
    <font>
      <b/>
      <i/>
      <u val="single"/>
      <sz val="12"/>
      <color indexed="56"/>
      <name val="Times New Roman"/>
      <family val="1"/>
    </font>
    <font>
      <b/>
      <i/>
      <sz val="14"/>
      <color indexed="56"/>
      <name val="Arial"/>
      <family val="2"/>
    </font>
    <font>
      <i/>
      <u val="single"/>
      <sz val="10"/>
      <color indexed="56"/>
      <name val="Arial"/>
      <family val="2"/>
    </font>
    <font>
      <sz val="7"/>
      <color indexed="56"/>
      <name val="Arial Cyr"/>
      <family val="2"/>
    </font>
    <font>
      <sz val="10"/>
      <color indexed="56"/>
      <name val="Arial Cyr"/>
      <family val="2"/>
    </font>
    <font>
      <b/>
      <i/>
      <sz val="13"/>
      <color indexed="56"/>
      <name val="Arial"/>
      <family val="2"/>
    </font>
    <font>
      <sz val="14"/>
      <color indexed="56"/>
      <name val="Arial"/>
      <family val="2"/>
    </font>
    <font>
      <b/>
      <i/>
      <sz val="10"/>
      <color indexed="56"/>
      <name val="Arial Cyr"/>
      <family val="0"/>
    </font>
    <font>
      <i/>
      <sz val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i/>
      <u val="single"/>
      <sz val="14"/>
      <color indexed="56"/>
      <name val="Arial Cyr"/>
      <family val="2"/>
    </font>
    <font>
      <b/>
      <sz val="14"/>
      <color indexed="56"/>
      <name val="Bookman Old Style"/>
      <family val="1"/>
    </font>
    <font>
      <sz val="9"/>
      <color indexed="56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9"/>
      <color indexed="56"/>
      <name val="Times New Roman"/>
      <family val="1"/>
    </font>
    <font>
      <i/>
      <u val="single"/>
      <sz val="11"/>
      <color indexed="56"/>
      <name val="Arial"/>
      <family val="2"/>
    </font>
    <font>
      <i/>
      <u val="single"/>
      <sz val="13"/>
      <color indexed="56"/>
      <name val="Arial"/>
      <family val="2"/>
    </font>
    <font>
      <u val="single"/>
      <sz val="13"/>
      <color indexed="56"/>
      <name val="Arial"/>
      <family val="2"/>
    </font>
    <font>
      <sz val="13"/>
      <color indexed="56"/>
      <name val="Arial"/>
      <family val="2"/>
    </font>
    <font>
      <b/>
      <sz val="10"/>
      <color indexed="56"/>
      <name val="Arial"/>
      <family val="2"/>
    </font>
    <font>
      <i/>
      <sz val="11"/>
      <color indexed="56"/>
      <name val="Arial"/>
      <family val="2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12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4"/>
      <color indexed="56"/>
      <name val="Arial Cyr"/>
      <family val="0"/>
    </font>
    <font>
      <sz val="11"/>
      <color indexed="56"/>
      <name val="Times New Roman"/>
      <family val="1"/>
    </font>
    <font>
      <sz val="11"/>
      <color indexed="17"/>
      <name val="Times New Roman"/>
      <family val="1"/>
    </font>
    <font>
      <b/>
      <i/>
      <u val="single"/>
      <sz val="20"/>
      <color indexed="56"/>
      <name val="Times New Roman"/>
      <family val="1"/>
    </font>
    <font>
      <sz val="10"/>
      <name val="Times New Roman"/>
      <family val="1"/>
    </font>
    <font>
      <b/>
      <i/>
      <u val="single"/>
      <sz val="8"/>
      <color indexed="56"/>
      <name val="Times New Roman"/>
      <family val="1"/>
    </font>
    <font>
      <b/>
      <i/>
      <u val="single"/>
      <sz val="8"/>
      <color indexed="17"/>
      <name val="Times New Roman"/>
      <family val="1"/>
    </font>
    <font>
      <sz val="8"/>
      <name val="Times New Roman"/>
      <family val="1"/>
    </font>
    <font>
      <sz val="8"/>
      <color indexed="56"/>
      <name val="Times New Roman"/>
      <family val="1"/>
    </font>
    <font>
      <sz val="8"/>
      <color indexed="17"/>
      <name val="Times New Roman"/>
      <family val="1"/>
    </font>
    <font>
      <b/>
      <i/>
      <u val="single"/>
      <sz val="13"/>
      <color indexed="56"/>
      <name val="Times New Roman"/>
      <family val="1"/>
    </font>
    <font>
      <sz val="12"/>
      <color indexed="56"/>
      <name val="Times New Roman"/>
      <family val="1"/>
    </font>
    <font>
      <b/>
      <i/>
      <sz val="12"/>
      <color indexed="56"/>
      <name val="Times New Roman"/>
      <family val="1"/>
    </font>
    <font>
      <sz val="12"/>
      <color indexed="17"/>
      <name val="Times New Roman"/>
      <family val="1"/>
    </font>
    <font>
      <b/>
      <sz val="11"/>
      <color indexed="56"/>
      <name val="Times New Roman"/>
      <family val="1"/>
    </font>
    <font>
      <b/>
      <i/>
      <sz val="11"/>
      <color indexed="56"/>
      <name val="Times New Roman"/>
      <family val="1"/>
    </font>
    <font>
      <b/>
      <i/>
      <u val="single"/>
      <sz val="9"/>
      <color indexed="56"/>
      <name val="Times New Roman"/>
      <family val="1"/>
    </font>
    <font>
      <b/>
      <i/>
      <sz val="9"/>
      <color indexed="56"/>
      <name val="Times New Roman"/>
      <family val="1"/>
    </font>
    <font>
      <sz val="9"/>
      <color indexed="17"/>
      <name val="Times New Roman"/>
      <family val="1"/>
    </font>
    <font>
      <i/>
      <sz val="9"/>
      <color indexed="17"/>
      <name val="Times New Roman"/>
      <family val="1"/>
    </font>
    <font>
      <i/>
      <sz val="9"/>
      <color indexed="56"/>
      <name val="Times New Roman"/>
      <family val="1"/>
    </font>
    <font>
      <b/>
      <i/>
      <u val="single"/>
      <sz val="11"/>
      <color indexed="56"/>
      <name val="Times New Roman"/>
      <family val="1"/>
    </font>
    <font>
      <i/>
      <sz val="10"/>
      <color indexed="56"/>
      <name val="Times New Roman"/>
      <family val="1"/>
    </font>
    <font>
      <sz val="7"/>
      <color indexed="56"/>
      <name val="Times New Roman"/>
      <family val="1"/>
    </font>
    <font>
      <sz val="10"/>
      <color indexed="17"/>
      <name val="Times New Roman"/>
      <family val="1"/>
    </font>
    <font>
      <i/>
      <sz val="8"/>
      <color indexed="56"/>
      <name val="Times New Roman"/>
      <family val="1"/>
    </font>
    <font>
      <i/>
      <sz val="11"/>
      <color indexed="56"/>
      <name val="Times New Roman"/>
      <family val="1"/>
    </font>
    <font>
      <b/>
      <i/>
      <sz val="11"/>
      <color indexed="58"/>
      <name val="Times New Roman"/>
      <family val="1"/>
    </font>
    <font>
      <sz val="8"/>
      <color indexed="10"/>
      <name val="Times New Roman"/>
      <family val="1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8"/>
      <color indexed="56"/>
      <name val="Times New Roman"/>
      <family val="1"/>
    </font>
    <font>
      <b/>
      <i/>
      <u val="single"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8"/>
      <color indexed="61"/>
      <name val="Times New Roman"/>
      <family val="1"/>
    </font>
    <font>
      <i/>
      <sz val="11"/>
      <color indexed="61"/>
      <name val="Times New Roman"/>
      <family val="1"/>
    </font>
    <font>
      <b/>
      <i/>
      <sz val="11"/>
      <color indexed="61"/>
      <name val="Times New Roman"/>
      <family val="1"/>
    </font>
    <font>
      <i/>
      <sz val="11"/>
      <color indexed="17"/>
      <name val="Times New Roman"/>
      <family val="1"/>
    </font>
    <font>
      <b/>
      <i/>
      <u val="single"/>
      <sz val="11"/>
      <color indexed="61"/>
      <name val="Times New Roman"/>
      <family val="1"/>
    </font>
    <font>
      <sz val="13"/>
      <color indexed="56"/>
      <name val="Times New Roman"/>
      <family val="1"/>
    </font>
    <font>
      <b/>
      <i/>
      <sz val="13"/>
      <color indexed="56"/>
      <name val="Times New Roman"/>
      <family val="1"/>
    </font>
    <font>
      <sz val="13"/>
      <color indexed="17"/>
      <name val="Times New Roman"/>
      <family val="1"/>
    </font>
    <font>
      <sz val="9"/>
      <color indexed="18"/>
      <name val="Times New Roman"/>
      <family val="1"/>
    </font>
    <font>
      <sz val="10"/>
      <color indexed="18"/>
      <name val="Times New Roman"/>
      <family val="1"/>
    </font>
    <font>
      <b/>
      <i/>
      <u val="single"/>
      <sz val="14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sz val="10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i/>
      <sz val="8"/>
      <color indexed="18"/>
      <name val="Times New Roman"/>
      <family val="1"/>
    </font>
    <font>
      <b/>
      <i/>
      <u val="single"/>
      <sz val="9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sz val="9"/>
      <color indexed="18"/>
      <name val="Times New Roman"/>
      <family val="1"/>
    </font>
    <font>
      <b/>
      <i/>
      <u val="single"/>
      <sz val="12"/>
      <color indexed="18"/>
      <name val="Times New Roman"/>
      <family val="1"/>
    </font>
    <font>
      <sz val="7"/>
      <color indexed="18"/>
      <name val="Times New Roman"/>
      <family val="1"/>
    </font>
    <font>
      <i/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u val="single"/>
      <sz val="7.5"/>
      <color indexed="12"/>
      <name val="Arial"/>
      <family val="2"/>
    </font>
    <font>
      <i/>
      <sz val="13"/>
      <color indexed="56"/>
      <name val="Arial"/>
      <family val="2"/>
    </font>
    <font>
      <b/>
      <i/>
      <sz val="14"/>
      <color indexed="18"/>
      <name val="Arial"/>
      <family val="2"/>
    </font>
    <font>
      <b/>
      <i/>
      <sz val="13"/>
      <color indexed="56"/>
      <name val="Arial Cyr"/>
      <family val="2"/>
    </font>
    <font>
      <b/>
      <i/>
      <u val="single"/>
      <sz val="14"/>
      <color indexed="56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6"/>
      <name val="Times New Roman"/>
      <family val="1"/>
    </font>
    <font>
      <sz val="7"/>
      <color indexed="16"/>
      <name val="Times New Roman"/>
      <family val="1"/>
    </font>
    <font>
      <b/>
      <i/>
      <sz val="11"/>
      <color indexed="16"/>
      <name val="Times New Roman"/>
      <family val="1"/>
    </font>
    <font>
      <b/>
      <sz val="11"/>
      <color indexed="8"/>
      <name val="Arial"/>
      <family val="2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i/>
      <u val="single"/>
      <sz val="14"/>
      <color indexed="63"/>
      <name val="Times New Roman"/>
      <family val="1"/>
    </font>
    <font>
      <b/>
      <i/>
      <u val="single"/>
      <sz val="14"/>
      <color indexed="63"/>
      <name val="Times New Roman"/>
      <family val="1"/>
    </font>
    <font>
      <b/>
      <i/>
      <sz val="11"/>
      <color indexed="63"/>
      <name val="Times New Roman"/>
      <family val="1"/>
    </font>
    <font>
      <b/>
      <i/>
      <sz val="12"/>
      <color indexed="63"/>
      <name val="Times New Roman"/>
      <family val="1"/>
    </font>
    <font>
      <sz val="11"/>
      <color indexed="63"/>
      <name val="Times New Roman"/>
      <family val="1"/>
    </font>
    <font>
      <i/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i/>
      <u val="single"/>
      <sz val="10"/>
      <color indexed="63"/>
      <name val="Times New Roman"/>
      <family val="1"/>
    </font>
    <font>
      <b/>
      <i/>
      <u val="single"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7"/>
      <color indexed="63"/>
      <name val="Times New Roman"/>
      <family val="1"/>
    </font>
    <font>
      <b/>
      <i/>
      <sz val="13"/>
      <color indexed="63"/>
      <name val="Times New Roman"/>
      <family val="1"/>
    </font>
    <font>
      <sz val="13"/>
      <color indexed="63"/>
      <name val="Times New Roman"/>
      <family val="1"/>
    </font>
    <font>
      <b/>
      <i/>
      <u val="single"/>
      <sz val="14"/>
      <color indexed="18"/>
      <name val="Arial"/>
      <family val="2"/>
    </font>
    <font>
      <i/>
      <sz val="10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 Cyr"/>
      <family val="2"/>
    </font>
    <font>
      <b/>
      <sz val="12"/>
      <color indexed="18"/>
      <name val="Arial Cyr"/>
      <family val="2"/>
    </font>
    <font>
      <b/>
      <sz val="10"/>
      <color indexed="18"/>
      <name val="Times New Roman"/>
      <family val="1"/>
    </font>
    <font>
      <i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i/>
      <u val="single"/>
      <sz val="14"/>
      <color indexed="17"/>
      <name val="Arial"/>
      <family val="2"/>
    </font>
    <font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Times New Roman"/>
      <family val="1"/>
    </font>
    <font>
      <i/>
      <sz val="11"/>
      <color indexed="17"/>
      <name val="Arial"/>
      <family val="2"/>
    </font>
    <font>
      <i/>
      <sz val="10"/>
      <color indexed="20"/>
      <name val="Arial"/>
      <family val="2"/>
    </font>
    <font>
      <sz val="13"/>
      <color indexed="18"/>
      <name val="Arial"/>
      <family val="2"/>
    </font>
    <font>
      <b/>
      <i/>
      <sz val="13"/>
      <color indexed="56"/>
      <name val="Arial CE"/>
      <family val="0"/>
    </font>
    <font>
      <b/>
      <sz val="13"/>
      <color indexed="56"/>
      <name val="Arial"/>
      <family val="2"/>
    </font>
    <font>
      <i/>
      <sz val="13"/>
      <color indexed="18"/>
      <name val="Arial"/>
      <family val="2"/>
    </font>
    <font>
      <sz val="12"/>
      <color indexed="59"/>
      <name val="Arial"/>
      <family val="2"/>
    </font>
    <font>
      <sz val="13"/>
      <name val="Arial"/>
      <family val="2"/>
    </font>
    <font>
      <sz val="13"/>
      <color indexed="17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8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56"/>
      <name val="Arial"/>
      <family val="2"/>
    </font>
    <font>
      <b/>
      <u val="single"/>
      <sz val="14"/>
      <color indexed="56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8"/>
      <color indexed="8"/>
      <name val="Times New Roman"/>
      <family val="1"/>
    </font>
    <font>
      <b/>
      <sz val="14"/>
      <color indexed="56"/>
      <name val="Times New Roman"/>
      <family val="1"/>
    </font>
    <font>
      <b/>
      <i/>
      <sz val="14"/>
      <color indexed="56"/>
      <name val="Times New Roman"/>
      <family val="1"/>
    </font>
    <font>
      <i/>
      <u val="single"/>
      <sz val="11"/>
      <color indexed="56"/>
      <name val="Times New Roman"/>
      <family val="1"/>
    </font>
    <font>
      <sz val="11"/>
      <name val="Arial"/>
      <family val="2"/>
    </font>
    <font>
      <u val="single"/>
      <sz val="11"/>
      <color indexed="56"/>
      <name val="Arial"/>
      <family val="2"/>
    </font>
    <font>
      <u val="single"/>
      <sz val="12"/>
      <color indexed="56"/>
      <name val="Arial"/>
      <family val="2"/>
    </font>
    <font>
      <i/>
      <sz val="12"/>
      <color indexed="17"/>
      <name val="Arial"/>
      <family val="2"/>
    </font>
    <font>
      <b/>
      <i/>
      <sz val="12"/>
      <color indexed="17"/>
      <name val="Arial"/>
      <family val="2"/>
    </font>
    <font>
      <i/>
      <u val="single"/>
      <sz val="12"/>
      <color indexed="56"/>
      <name val="Times New Roman"/>
      <family val="1"/>
    </font>
    <font>
      <b/>
      <sz val="16"/>
      <color indexed="56"/>
      <name val="Arial"/>
      <family val="2"/>
    </font>
    <font>
      <b/>
      <sz val="9"/>
      <color indexed="18"/>
      <name val="Arial"/>
      <family val="2"/>
    </font>
    <font>
      <b/>
      <sz val="10"/>
      <color indexed="17"/>
      <name val="Arial"/>
      <family val="2"/>
    </font>
    <font>
      <b/>
      <i/>
      <sz val="12"/>
      <color indexed="10"/>
      <name val="Times New Roman"/>
      <family val="1"/>
    </font>
    <font>
      <b/>
      <sz val="13"/>
      <color indexed="63"/>
      <name val="Times New Roman"/>
      <family val="1"/>
    </font>
    <font>
      <sz val="10"/>
      <color indexed="20"/>
      <name val="Times New Roman"/>
      <family val="1"/>
    </font>
    <font>
      <b/>
      <sz val="10"/>
      <color indexed="18"/>
      <name val="Arial"/>
      <family val="2"/>
    </font>
    <font>
      <b/>
      <sz val="14"/>
      <color indexed="58"/>
      <name val="Arial"/>
      <family val="2"/>
    </font>
    <font>
      <b/>
      <i/>
      <u val="single"/>
      <sz val="14"/>
      <color indexed="58"/>
      <name val="Arial"/>
      <family val="2"/>
    </font>
    <font>
      <sz val="14"/>
      <color indexed="58"/>
      <name val="Arial"/>
      <family val="2"/>
    </font>
    <font>
      <b/>
      <sz val="14"/>
      <color indexed="18"/>
      <name val="Times New Roman"/>
      <family val="1"/>
    </font>
    <font>
      <i/>
      <sz val="14"/>
      <color indexed="56"/>
      <name val="Arial"/>
      <family val="2"/>
    </font>
    <font>
      <b/>
      <i/>
      <u val="single"/>
      <sz val="18"/>
      <color indexed="56"/>
      <name val="Arial"/>
      <family val="2"/>
    </font>
    <font>
      <b/>
      <i/>
      <sz val="14"/>
      <color indexed="63"/>
      <name val="Times New Roman"/>
      <family val="1"/>
    </font>
    <font>
      <i/>
      <sz val="14"/>
      <color indexed="63"/>
      <name val="Times New Roman"/>
      <family val="1"/>
    </font>
    <font>
      <i/>
      <sz val="7"/>
      <name val="Arial"/>
      <family val="2"/>
    </font>
    <font>
      <i/>
      <sz val="10"/>
      <name val="Arial"/>
      <family val="2"/>
    </font>
    <font>
      <sz val="11"/>
      <color indexed="18"/>
      <name val="Arial Cyr"/>
      <family val="2"/>
    </font>
    <font>
      <sz val="11"/>
      <color indexed="17"/>
      <name val="Arial Cyr"/>
      <family val="2"/>
    </font>
    <font>
      <sz val="11"/>
      <color indexed="9"/>
      <name val="Arial"/>
      <family val="2"/>
    </font>
    <font>
      <sz val="11"/>
      <color indexed="12"/>
      <name val="Arial"/>
      <family val="2"/>
    </font>
    <font>
      <sz val="11"/>
      <color indexed="53"/>
      <name val="Arial"/>
      <family val="2"/>
    </font>
    <font>
      <sz val="11"/>
      <color indexed="59"/>
      <name val="Arial"/>
      <family val="2"/>
    </font>
    <font>
      <b/>
      <sz val="24"/>
      <color indexed="56"/>
      <name val="Arial"/>
      <family val="2"/>
    </font>
    <font>
      <b/>
      <i/>
      <u val="single"/>
      <sz val="9"/>
      <color indexed="56"/>
      <name val="Arial"/>
      <family val="2"/>
    </font>
    <font>
      <b/>
      <i/>
      <sz val="9"/>
      <color indexed="56"/>
      <name val="Arial"/>
      <family val="2"/>
    </font>
    <font>
      <b/>
      <i/>
      <u val="single"/>
      <sz val="10"/>
      <color indexed="56"/>
      <name val="Arial Cyr"/>
      <family val="2"/>
    </font>
    <font>
      <sz val="11"/>
      <color indexed="58"/>
      <name val="Arial"/>
      <family val="2"/>
    </font>
    <font>
      <b/>
      <u val="single"/>
      <sz val="12"/>
      <color indexed="56"/>
      <name val="Arial"/>
      <family val="2"/>
    </font>
    <font>
      <b/>
      <sz val="14"/>
      <color indexed="9"/>
      <name val="Arial"/>
      <family val="2"/>
    </font>
    <font>
      <b/>
      <i/>
      <u val="single"/>
      <sz val="14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b/>
      <i/>
      <u val="single"/>
      <sz val="12"/>
      <color indexed="12"/>
      <name val="Arial"/>
      <family val="2"/>
    </font>
    <font>
      <sz val="11"/>
      <color indexed="12"/>
      <name val="Arial Cyr"/>
      <family val="2"/>
    </font>
    <font>
      <sz val="14"/>
      <color indexed="18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sz val="14"/>
      <color indexed="18"/>
      <name val="Arial Cyr"/>
      <family val="2"/>
    </font>
    <font>
      <sz val="24"/>
      <color indexed="56"/>
      <name val="Arial"/>
      <family val="2"/>
    </font>
    <font>
      <b/>
      <i/>
      <u val="single"/>
      <sz val="24"/>
      <color indexed="56"/>
      <name val="Arial Cyr"/>
      <family val="2"/>
    </font>
    <font>
      <sz val="24"/>
      <color indexed="18"/>
      <name val="Arial"/>
      <family val="2"/>
    </font>
    <font>
      <sz val="24"/>
      <color indexed="17"/>
      <name val="Arial"/>
      <family val="2"/>
    </font>
    <font>
      <sz val="24"/>
      <name val="Arial"/>
      <family val="2"/>
    </font>
    <font>
      <sz val="12"/>
      <color indexed="12"/>
      <name val="Arial"/>
      <family val="2"/>
    </font>
    <font>
      <b/>
      <i/>
      <sz val="10"/>
      <name val="Arial"/>
      <family val="2"/>
    </font>
    <font>
      <i/>
      <sz val="10"/>
      <color indexed="16"/>
      <name val="Times New Roman"/>
      <family val="1"/>
    </font>
    <font>
      <i/>
      <sz val="10"/>
      <color indexed="16"/>
      <name val="Arial"/>
      <family val="2"/>
    </font>
    <font>
      <sz val="12"/>
      <color indexed="58"/>
      <name val="Times New Roman"/>
      <family val="1"/>
    </font>
    <font>
      <sz val="9"/>
      <color indexed="58"/>
      <name val="Arial"/>
      <family val="2"/>
    </font>
    <font>
      <u val="single"/>
      <sz val="10"/>
      <color indexed="36"/>
      <name val="Arial"/>
      <family val="2"/>
    </font>
    <font>
      <b/>
      <i/>
      <sz val="13"/>
      <color indexed="63"/>
      <name val="Arial"/>
      <family val="2"/>
    </font>
    <font>
      <sz val="7"/>
      <color indexed="63"/>
      <name val="Arial"/>
      <family val="2"/>
    </font>
    <font>
      <b/>
      <sz val="8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6"/>
      <name val="Times New Roman"/>
      <family val="1"/>
    </font>
    <font>
      <i/>
      <sz val="8"/>
      <color indexed="17"/>
      <name val="Times New Roman"/>
      <family val="1"/>
    </font>
    <font>
      <b/>
      <sz val="12"/>
      <color indexed="56"/>
      <name val="Times New Roman"/>
      <family val="1"/>
    </font>
    <font>
      <i/>
      <sz val="14"/>
      <color indexed="56"/>
      <name val="Times New Roman"/>
      <family val="1"/>
    </font>
    <font>
      <sz val="14"/>
      <color indexed="56"/>
      <name val="Times New Roman"/>
      <family val="1"/>
    </font>
    <font>
      <b/>
      <i/>
      <sz val="12"/>
      <color indexed="17"/>
      <name val="Times New Roman"/>
      <family val="1"/>
    </font>
    <font>
      <sz val="11"/>
      <color indexed="20"/>
      <name val="Arial"/>
      <family val="2"/>
    </font>
    <font>
      <sz val="11"/>
      <color indexed="63"/>
      <name val="Arial"/>
      <family val="2"/>
    </font>
    <font>
      <b/>
      <sz val="11"/>
      <color indexed="17"/>
      <name val="Times New Roman"/>
      <family val="1"/>
    </font>
    <font>
      <b/>
      <i/>
      <sz val="14"/>
      <color indexed="58"/>
      <name val="Arial"/>
      <family val="2"/>
    </font>
    <font>
      <b/>
      <i/>
      <sz val="14"/>
      <color indexed="9"/>
      <name val="Arial"/>
      <family val="2"/>
    </font>
    <font>
      <sz val="13"/>
      <color indexed="12"/>
      <name val="Arial"/>
      <family val="2"/>
    </font>
    <font>
      <sz val="13"/>
      <color indexed="20"/>
      <name val="Arial"/>
      <family val="2"/>
    </font>
    <font>
      <b/>
      <i/>
      <sz val="13"/>
      <color indexed="17"/>
      <name val="Arial"/>
      <family val="2"/>
    </font>
    <font>
      <b/>
      <i/>
      <u val="single"/>
      <sz val="13"/>
      <color indexed="12"/>
      <name val="Arial"/>
      <family val="2"/>
    </font>
    <font>
      <sz val="13"/>
      <color indexed="53"/>
      <name val="Arial"/>
      <family val="2"/>
    </font>
    <font>
      <sz val="13"/>
      <color indexed="9"/>
      <name val="Arial"/>
      <family val="2"/>
    </font>
    <font>
      <sz val="13"/>
      <color indexed="12"/>
      <name val="Arial Cyr"/>
      <family val="2"/>
    </font>
    <font>
      <sz val="13"/>
      <color indexed="18"/>
      <name val="Arial Cyr"/>
      <family val="2"/>
    </font>
    <font>
      <b/>
      <sz val="13"/>
      <color indexed="18"/>
      <name val="Arial Cyr"/>
      <family val="2"/>
    </font>
    <font>
      <b/>
      <sz val="13"/>
      <color indexed="17"/>
      <name val="Arial"/>
      <family val="2"/>
    </font>
    <font>
      <b/>
      <sz val="13"/>
      <color indexed="18"/>
      <name val="Arial"/>
      <family val="2"/>
    </font>
    <font>
      <sz val="13"/>
      <color indexed="17"/>
      <name val="Arial Cyr"/>
      <family val="2"/>
    </font>
    <font>
      <sz val="13"/>
      <color indexed="58"/>
      <name val="Arial"/>
      <family val="2"/>
    </font>
    <font>
      <sz val="13"/>
      <color indexed="59"/>
      <name val="Arial"/>
      <family val="2"/>
    </font>
    <font>
      <i/>
      <sz val="13"/>
      <color indexed="17"/>
      <name val="Arial"/>
      <family val="2"/>
    </font>
    <font>
      <b/>
      <i/>
      <sz val="13"/>
      <color indexed="18"/>
      <name val="Arial"/>
      <family val="2"/>
    </font>
    <font>
      <i/>
      <sz val="13"/>
      <color indexed="18"/>
      <name val="Times New Roman"/>
      <family val="1"/>
    </font>
    <font>
      <sz val="13"/>
      <color indexed="56"/>
      <name val="Arial Cyr"/>
      <family val="2"/>
    </font>
    <font>
      <i/>
      <sz val="13"/>
      <color indexed="56"/>
      <name val="Arial Cyr"/>
      <family val="2"/>
    </font>
    <font>
      <i/>
      <sz val="13"/>
      <color indexed="58"/>
      <name val="Arial"/>
      <family val="2"/>
    </font>
    <font>
      <i/>
      <u val="single"/>
      <sz val="13"/>
      <color indexed="56"/>
      <name val="Arial Cyr"/>
      <family val="0"/>
    </font>
    <font>
      <i/>
      <u val="single"/>
      <sz val="13"/>
      <color indexed="56"/>
      <name val="Arial CE"/>
      <family val="2"/>
    </font>
    <font>
      <sz val="13"/>
      <color indexed="10"/>
      <name val="Arial"/>
      <family val="2"/>
    </font>
    <font>
      <b/>
      <i/>
      <u val="single"/>
      <sz val="13"/>
      <color indexed="9"/>
      <name val="Arial"/>
      <family val="2"/>
    </font>
    <font>
      <i/>
      <u val="single"/>
      <sz val="13"/>
      <color indexed="20"/>
      <name val="Arial"/>
      <family val="2"/>
    </font>
    <font>
      <b/>
      <i/>
      <sz val="13"/>
      <color indexed="58"/>
      <name val="Times New Roman"/>
      <family val="1"/>
    </font>
    <font>
      <b/>
      <i/>
      <sz val="13"/>
      <color indexed="10"/>
      <name val="Times New Roman"/>
      <family val="1"/>
    </font>
    <font>
      <i/>
      <sz val="13"/>
      <color indexed="56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3"/>
      <name val="Times New Roman"/>
      <family val="1"/>
    </font>
    <font>
      <b/>
      <sz val="13"/>
      <color indexed="18"/>
      <name val="Times New Roman"/>
      <family val="1"/>
    </font>
    <font>
      <sz val="13"/>
      <color indexed="12"/>
      <name val="Times New Roman"/>
      <family val="1"/>
    </font>
    <font>
      <b/>
      <u val="single"/>
      <sz val="13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sz val="12"/>
      <color indexed="10"/>
      <name val="Arial"/>
      <family val="2"/>
    </font>
    <font>
      <b/>
      <sz val="13"/>
      <color indexed="56"/>
      <name val="Times New Roman"/>
      <family val="1"/>
    </font>
    <font>
      <b/>
      <i/>
      <u val="single"/>
      <sz val="10"/>
      <color indexed="56"/>
      <name val="Times New Roman"/>
      <family val="1"/>
    </font>
    <font>
      <i/>
      <sz val="10"/>
      <color indexed="17"/>
      <name val="Times New Roman"/>
      <family val="1"/>
    </font>
    <font>
      <i/>
      <sz val="12"/>
      <color indexed="16"/>
      <name val="Times New Roman"/>
      <family val="1"/>
    </font>
    <font>
      <b/>
      <i/>
      <sz val="12"/>
      <color indexed="16"/>
      <name val="Times New Roman"/>
      <family val="1"/>
    </font>
    <font>
      <b/>
      <i/>
      <sz val="13"/>
      <color indexed="16"/>
      <name val="Times New Roman"/>
      <family val="1"/>
    </font>
    <font>
      <sz val="14"/>
      <name val="Times New Roman"/>
      <family val="1"/>
    </font>
    <font>
      <sz val="14"/>
      <color indexed="18"/>
      <name val="Times New Roman"/>
      <family val="1"/>
    </font>
    <font>
      <i/>
      <sz val="14"/>
      <name val="Times New Roman"/>
      <family val="1"/>
    </font>
    <font>
      <i/>
      <sz val="16"/>
      <color indexed="18"/>
      <name val="Arial"/>
      <family val="2"/>
    </font>
    <font>
      <sz val="16"/>
      <color indexed="56"/>
      <name val="Arial"/>
      <family val="2"/>
    </font>
    <font>
      <b/>
      <u val="single"/>
      <sz val="13"/>
      <color indexed="56"/>
      <name val="Arial"/>
      <family val="2"/>
    </font>
    <font>
      <b/>
      <i/>
      <sz val="16"/>
      <color indexed="56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12"/>
      <name val="Times New Roman"/>
      <family val="1"/>
    </font>
    <font>
      <b/>
      <i/>
      <u val="single"/>
      <sz val="13"/>
      <name val="Times New Roman"/>
      <family val="1"/>
    </font>
    <font>
      <sz val="10"/>
      <color indexed="9"/>
      <name val="Times New Roman"/>
      <family val="1"/>
    </font>
    <font>
      <sz val="8"/>
      <color indexed="18"/>
      <name val="Arial"/>
      <family val="2"/>
    </font>
    <font>
      <sz val="16"/>
      <color indexed="18"/>
      <name val="Times New Roman"/>
      <family val="1"/>
    </font>
    <font>
      <sz val="16"/>
      <color indexed="18"/>
      <name val="Arial"/>
      <family val="2"/>
    </font>
    <font>
      <i/>
      <sz val="8"/>
      <name val="Times New Roman"/>
      <family val="1"/>
    </font>
    <font>
      <i/>
      <sz val="8"/>
      <color indexed="18"/>
      <name val="Times New Roman"/>
      <family val="1"/>
    </font>
    <font>
      <i/>
      <sz val="14"/>
      <color indexed="18"/>
      <name val="Times New Roman"/>
      <family val="1"/>
    </font>
    <font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b/>
      <sz val="15"/>
      <color indexed="18"/>
      <name val="Times New Roman"/>
      <family val="1"/>
    </font>
    <font>
      <sz val="10"/>
      <color indexed="12"/>
      <name val="Arial Cyr"/>
      <family val="2"/>
    </font>
    <font>
      <sz val="11"/>
      <name val="Times New Roman"/>
      <family val="1"/>
    </font>
    <font>
      <b/>
      <i/>
      <sz val="13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12"/>
      <color indexed="9"/>
      <name val="Arial"/>
      <family val="2"/>
    </font>
    <font>
      <sz val="11"/>
      <color indexed="9"/>
      <name val="Arial Cyr"/>
      <family val="2"/>
    </font>
    <font>
      <sz val="10"/>
      <color indexed="9"/>
      <name val="Arial Cyr"/>
      <family val="2"/>
    </font>
    <font>
      <b/>
      <sz val="12"/>
      <color indexed="9"/>
      <name val="Arial Cyr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sz val="14"/>
      <color indexed="9"/>
      <name val="Arial Cyr"/>
      <family val="2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i/>
      <sz val="11"/>
      <color indexed="9"/>
      <name val="Arial"/>
      <family val="2"/>
    </font>
    <font>
      <b/>
      <i/>
      <sz val="11"/>
      <color indexed="9"/>
      <name val="Arial"/>
      <family val="2"/>
    </font>
    <font>
      <i/>
      <sz val="12"/>
      <color indexed="9"/>
      <name val="Arial"/>
      <family val="2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9"/>
      <color indexed="9"/>
      <name val="Times New Roman"/>
      <family val="1"/>
    </font>
    <font>
      <sz val="11"/>
      <color indexed="9"/>
      <name val="Times New Roman"/>
      <family val="1"/>
    </font>
    <font>
      <sz val="13"/>
      <color indexed="9"/>
      <name val="Times New Roman"/>
      <family val="1"/>
    </font>
    <font>
      <b/>
      <i/>
      <u val="single"/>
      <sz val="9"/>
      <color indexed="9"/>
      <name val="Times New Roman"/>
      <family val="1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2"/>
      <color indexed="55"/>
      <name val="Arial"/>
      <family val="2"/>
    </font>
    <font>
      <sz val="9"/>
      <color indexed="55"/>
      <name val="Arial"/>
      <family val="2"/>
    </font>
    <font>
      <b/>
      <i/>
      <u val="single"/>
      <sz val="14"/>
      <color indexed="55"/>
      <name val="Arial"/>
      <family val="2"/>
    </font>
    <font>
      <b/>
      <sz val="9"/>
      <color indexed="55"/>
      <name val="Arial"/>
      <family val="2"/>
    </font>
    <font>
      <i/>
      <sz val="8"/>
      <color indexed="55"/>
      <name val="Arial"/>
      <family val="2"/>
    </font>
    <font>
      <b/>
      <i/>
      <sz val="8"/>
      <color indexed="55"/>
      <name val="Arial"/>
      <family val="2"/>
    </font>
    <font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b/>
      <i/>
      <u val="single"/>
      <sz val="14"/>
      <color theme="0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sz val="10"/>
      <color theme="0"/>
      <name val="Arial Cyr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 Cyr"/>
      <family val="2"/>
    </font>
    <font>
      <sz val="11"/>
      <color theme="0"/>
      <name val="Arial"/>
      <family val="2"/>
    </font>
    <font>
      <i/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12"/>
      <color theme="0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i/>
      <u val="single"/>
      <sz val="12"/>
      <color theme="0"/>
      <name val="Arial"/>
      <family val="2"/>
    </font>
    <font>
      <sz val="7"/>
      <color theme="0"/>
      <name val="Arial"/>
      <family val="2"/>
    </font>
    <font>
      <sz val="11"/>
      <color theme="0"/>
      <name val="Arial Cyr"/>
      <family val="2"/>
    </font>
    <font>
      <b/>
      <sz val="12"/>
      <color theme="0"/>
      <name val="Arial Cyr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9"/>
      <color theme="0"/>
      <name val="Times New Roman"/>
      <family val="1"/>
    </font>
    <font>
      <i/>
      <sz val="11"/>
      <color theme="0"/>
      <name val="Arial"/>
      <family val="2"/>
    </font>
    <font>
      <b/>
      <i/>
      <sz val="11"/>
      <color theme="0"/>
      <name val="Arial"/>
      <family val="2"/>
    </font>
    <font>
      <i/>
      <sz val="12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2"/>
      <color theme="0"/>
      <name val="Times New Roman"/>
      <family val="1"/>
    </font>
    <font>
      <sz val="8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9"/>
      <color theme="0"/>
      <name val="Times New Roman"/>
      <family val="1"/>
    </font>
    <font>
      <sz val="13"/>
      <color theme="0"/>
      <name val="Times New Roman"/>
      <family val="1"/>
    </font>
    <font>
      <b/>
      <i/>
      <u val="single"/>
      <sz val="9"/>
      <color theme="0"/>
      <name val="Times New Roman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b/>
      <i/>
      <u val="single"/>
      <sz val="14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sz val="9"/>
      <color theme="0" tint="-0.3499799966812134"/>
      <name val="Arial"/>
      <family val="2"/>
    </font>
    <font>
      <i/>
      <sz val="8"/>
      <color theme="0" tint="-0.3499799966812134"/>
      <name val="Arial"/>
      <family val="2"/>
    </font>
    <font>
      <b/>
      <i/>
      <sz val="8"/>
      <color theme="0" tint="-0.3499799966812134"/>
      <name val="Arial"/>
      <family val="2"/>
    </font>
    <font>
      <i/>
      <sz val="10"/>
      <color theme="0" tint="-0.3499799966812134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6" fillId="2" borderId="0" applyNumberFormat="0" applyBorder="0" applyAlignment="0" applyProtection="0"/>
    <xf numFmtId="0" fontId="416" fillId="3" borderId="0" applyNumberFormat="0" applyBorder="0" applyAlignment="0" applyProtection="0"/>
    <xf numFmtId="0" fontId="416" fillId="4" borderId="0" applyNumberFormat="0" applyBorder="0" applyAlignment="0" applyProtection="0"/>
    <xf numFmtId="0" fontId="416" fillId="5" borderId="0" applyNumberFormat="0" applyBorder="0" applyAlignment="0" applyProtection="0"/>
    <xf numFmtId="0" fontId="416" fillId="6" borderId="0" applyNumberFormat="0" applyBorder="0" applyAlignment="0" applyProtection="0"/>
    <xf numFmtId="0" fontId="416" fillId="7" borderId="0" applyNumberFormat="0" applyBorder="0" applyAlignment="0" applyProtection="0"/>
    <xf numFmtId="0" fontId="416" fillId="8" borderId="0" applyNumberFormat="0" applyBorder="0" applyAlignment="0" applyProtection="0"/>
    <xf numFmtId="0" fontId="416" fillId="9" borderId="0" applyNumberFormat="0" applyBorder="0" applyAlignment="0" applyProtection="0"/>
    <xf numFmtId="0" fontId="416" fillId="10" borderId="0" applyNumberFormat="0" applyBorder="0" applyAlignment="0" applyProtection="0"/>
    <xf numFmtId="0" fontId="416" fillId="11" borderId="0" applyNumberFormat="0" applyBorder="0" applyAlignment="0" applyProtection="0"/>
    <xf numFmtId="0" fontId="416" fillId="12" borderId="0" applyNumberFormat="0" applyBorder="0" applyAlignment="0" applyProtection="0"/>
    <xf numFmtId="0" fontId="416" fillId="13" borderId="0" applyNumberFormat="0" applyBorder="0" applyAlignment="0" applyProtection="0"/>
    <xf numFmtId="0" fontId="417" fillId="14" borderId="0" applyNumberFormat="0" applyBorder="0" applyAlignment="0" applyProtection="0"/>
    <xf numFmtId="0" fontId="417" fillId="15" borderId="0" applyNumberFormat="0" applyBorder="0" applyAlignment="0" applyProtection="0"/>
    <xf numFmtId="0" fontId="417" fillId="10" borderId="0" applyNumberFormat="0" applyBorder="0" applyAlignment="0" applyProtection="0"/>
    <xf numFmtId="0" fontId="417" fillId="16" borderId="0" applyNumberFormat="0" applyBorder="0" applyAlignment="0" applyProtection="0"/>
    <xf numFmtId="0" fontId="417" fillId="17" borderId="0" applyNumberFormat="0" applyBorder="0" applyAlignment="0" applyProtection="0"/>
    <xf numFmtId="0" fontId="417" fillId="18" borderId="0" applyNumberFormat="0" applyBorder="0" applyAlignment="0" applyProtection="0"/>
    <xf numFmtId="0" fontId="417" fillId="19" borderId="0" applyNumberFormat="0" applyBorder="0" applyAlignment="0" applyProtection="0"/>
    <xf numFmtId="0" fontId="417" fillId="20" borderId="0" applyNumberFormat="0" applyBorder="0" applyAlignment="0" applyProtection="0"/>
    <xf numFmtId="0" fontId="417" fillId="21" borderId="0" applyNumberFormat="0" applyBorder="0" applyAlignment="0" applyProtection="0"/>
    <xf numFmtId="0" fontId="417" fillId="22" borderId="0" applyNumberFormat="0" applyBorder="0" applyAlignment="0" applyProtection="0"/>
    <xf numFmtId="0" fontId="417" fillId="23" borderId="0" applyNumberFormat="0" applyBorder="0" applyAlignment="0" applyProtection="0"/>
    <xf numFmtId="0" fontId="417" fillId="24" borderId="0" applyNumberFormat="0" applyBorder="0" applyAlignment="0" applyProtection="0"/>
    <xf numFmtId="0" fontId="418" fillId="25" borderId="1" applyNumberFormat="0" applyAlignment="0" applyProtection="0"/>
    <xf numFmtId="0" fontId="419" fillId="26" borderId="2" applyNumberFormat="0" applyAlignment="0" applyProtection="0"/>
    <xf numFmtId="0" fontId="420" fillId="26" borderId="1" applyNumberFormat="0" applyAlignment="0" applyProtection="0"/>
    <xf numFmtId="0" fontId="15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1" fillId="0" borderId="3" applyNumberFormat="0" applyFill="0" applyAlignment="0" applyProtection="0"/>
    <xf numFmtId="0" fontId="422" fillId="0" borderId="4" applyNumberFormat="0" applyFill="0" applyAlignment="0" applyProtection="0"/>
    <xf numFmtId="0" fontId="423" fillId="0" borderId="5" applyNumberFormat="0" applyFill="0" applyAlignment="0" applyProtection="0"/>
    <xf numFmtId="0" fontId="423" fillId="0" borderId="0" applyNumberFormat="0" applyFill="0" applyBorder="0" applyAlignment="0" applyProtection="0"/>
    <xf numFmtId="0" fontId="424" fillId="0" borderId="6" applyNumberFormat="0" applyFill="0" applyAlignment="0" applyProtection="0"/>
    <xf numFmtId="0" fontId="425" fillId="27" borderId="7" applyNumberFormat="0" applyAlignment="0" applyProtection="0"/>
    <xf numFmtId="0" fontId="426" fillId="0" borderId="0" applyNumberFormat="0" applyFill="0" applyBorder="0" applyAlignment="0" applyProtection="0"/>
    <xf numFmtId="0" fontId="427" fillId="28" borderId="0" applyNumberFormat="0" applyBorder="0" applyAlignment="0" applyProtection="0"/>
    <xf numFmtId="0" fontId="277" fillId="0" borderId="0" applyNumberFormat="0" applyFill="0" applyBorder="0" applyAlignment="0" applyProtection="0"/>
    <xf numFmtId="0" fontId="428" fillId="29" borderId="0" applyNumberFormat="0" applyBorder="0" applyAlignment="0" applyProtection="0"/>
    <xf numFmtId="0" fontId="42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0" fillId="0" borderId="9" applyNumberFormat="0" applyFill="0" applyAlignment="0" applyProtection="0"/>
    <xf numFmtId="0" fontId="4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2" fillId="31" borderId="0" applyNumberFormat="0" applyBorder="0" applyAlignment="0" applyProtection="0"/>
  </cellStyleXfs>
  <cellXfs count="259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3" xfId="0" applyFont="1" applyBorder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5" fillId="0" borderId="13" xfId="0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9" fillId="0" borderId="13" xfId="0" applyFont="1" applyBorder="1" applyAlignment="1">
      <alignment horizontal="right"/>
    </xf>
    <xf numFmtId="0" fontId="40" fillId="0" borderId="13" xfId="0" applyFont="1" applyBorder="1" applyAlignment="1">
      <alignment horizontal="left"/>
    </xf>
    <xf numFmtId="17" fontId="1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28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28" fillId="0" borderId="13" xfId="0" applyFont="1" applyBorder="1" applyAlignment="1">
      <alignment/>
    </xf>
    <xf numFmtId="0" fontId="45" fillId="0" borderId="0" xfId="0" applyFont="1" applyBorder="1" applyAlignment="1">
      <alignment/>
    </xf>
    <xf numFmtId="180" fontId="43" fillId="0" borderId="10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48" fillId="0" borderId="13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53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Alignment="1">
      <alignment horizontal="center"/>
    </xf>
    <xf numFmtId="0" fontId="15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61" fillId="0" borderId="13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9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" fontId="5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3" fillId="0" borderId="11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71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1" fontId="59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3" fillId="0" borderId="14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27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0" fillId="0" borderId="13" xfId="0" applyFont="1" applyBorder="1" applyAlignment="1">
      <alignment horizontal="left"/>
    </xf>
    <xf numFmtId="0" fontId="97" fillId="0" borderId="15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1" fillId="0" borderId="0" xfId="0" applyFont="1" applyAlignment="1">
      <alignment horizontal="right"/>
    </xf>
    <xf numFmtId="0" fontId="84" fillId="0" borderId="0" xfId="0" applyFont="1" applyAlignment="1">
      <alignment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Border="1" applyAlignment="1">
      <alignment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right"/>
    </xf>
    <xf numFmtId="0" fontId="89" fillId="0" borderId="0" xfId="0" applyFont="1" applyBorder="1" applyAlignment="1">
      <alignment/>
    </xf>
    <xf numFmtId="0" fontId="88" fillId="0" borderId="0" xfId="0" applyFont="1" applyBorder="1" applyAlignment="1">
      <alignment horizontal="right"/>
    </xf>
    <xf numFmtId="0" fontId="88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Border="1" applyAlignment="1">
      <alignment horizontal="center"/>
    </xf>
    <xf numFmtId="0" fontId="91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center"/>
    </xf>
    <xf numFmtId="0" fontId="95" fillId="0" borderId="0" xfId="0" applyFont="1" applyBorder="1" applyAlignment="1">
      <alignment horizontal="right"/>
    </xf>
    <xf numFmtId="14" fontId="95" fillId="0" borderId="0" xfId="0" applyNumberFormat="1" applyFont="1" applyBorder="1" applyAlignment="1">
      <alignment horizontal="left"/>
    </xf>
    <xf numFmtId="0" fontId="63" fillId="0" borderId="0" xfId="0" applyFont="1" applyBorder="1" applyAlignment="1">
      <alignment/>
    </xf>
    <xf numFmtId="0" fontId="96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98" fillId="0" borderId="0" xfId="0" applyFont="1" applyAlignment="1">
      <alignment/>
    </xf>
    <xf numFmtId="0" fontId="63" fillId="0" borderId="18" xfId="0" applyFont="1" applyBorder="1" applyAlignment="1">
      <alignment horizontal="center"/>
    </xf>
    <xf numFmtId="0" fontId="63" fillId="0" borderId="15" xfId="0" applyFont="1" applyBorder="1" applyAlignment="1">
      <alignment/>
    </xf>
    <xf numFmtId="0" fontId="96" fillId="0" borderId="15" xfId="0" applyFont="1" applyBorder="1" applyAlignment="1">
      <alignment horizontal="center"/>
    </xf>
    <xf numFmtId="0" fontId="63" fillId="0" borderId="19" xfId="0" applyFont="1" applyBorder="1" applyAlignment="1">
      <alignment/>
    </xf>
    <xf numFmtId="0" fontId="63" fillId="0" borderId="19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98" fillId="0" borderId="18" xfId="0" applyFont="1" applyBorder="1" applyAlignment="1">
      <alignment horizontal="center"/>
    </xf>
    <xf numFmtId="0" fontId="97" fillId="0" borderId="19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7" xfId="0" applyFont="1" applyBorder="1" applyAlignment="1">
      <alignment/>
    </xf>
    <xf numFmtId="0" fontId="63" fillId="0" borderId="1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98" fillId="0" borderId="10" xfId="0" applyFont="1" applyBorder="1" applyAlignment="1">
      <alignment horizontal="center"/>
    </xf>
    <xf numFmtId="0" fontId="97" fillId="0" borderId="17" xfId="0" applyFont="1" applyBorder="1" applyAlignment="1">
      <alignment horizontal="center"/>
    </xf>
    <xf numFmtId="0" fontId="97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97" fillId="0" borderId="18" xfId="0" applyFont="1" applyBorder="1" applyAlignment="1">
      <alignment horizontal="center"/>
    </xf>
    <xf numFmtId="0" fontId="81" fillId="0" borderId="13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81" fillId="0" borderId="17" xfId="0" applyFont="1" applyBorder="1" applyAlignment="1">
      <alignment horizontal="left" vertical="top" wrapText="1"/>
    </xf>
    <xf numFmtId="0" fontId="99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0" fontId="100" fillId="0" borderId="0" xfId="0" applyFont="1" applyAlignment="1">
      <alignment horizontal="center"/>
    </xf>
    <xf numFmtId="0" fontId="63" fillId="0" borderId="12" xfId="0" applyFont="1" applyBorder="1" applyAlignment="1">
      <alignment/>
    </xf>
    <xf numFmtId="0" fontId="63" fillId="0" borderId="16" xfId="0" applyFont="1" applyBorder="1" applyAlignment="1">
      <alignment/>
    </xf>
    <xf numFmtId="0" fontId="99" fillId="0" borderId="11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4" fillId="0" borderId="10" xfId="0" applyFont="1" applyBorder="1" applyAlignment="1">
      <alignment horizontal="center"/>
    </xf>
    <xf numFmtId="0" fontId="81" fillId="0" borderId="0" xfId="0" applyFont="1" applyBorder="1" applyAlignment="1">
      <alignment/>
    </xf>
    <xf numFmtId="0" fontId="81" fillId="0" borderId="17" xfId="0" applyFont="1" applyBorder="1" applyAlignment="1">
      <alignment/>
    </xf>
    <xf numFmtId="0" fontId="81" fillId="0" borderId="17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1" fontId="95" fillId="0" borderId="10" xfId="0" applyNumberFormat="1" applyFont="1" applyBorder="1" applyAlignment="1">
      <alignment horizontal="center"/>
    </xf>
    <xf numFmtId="0" fontId="95" fillId="0" borderId="10" xfId="0" applyFont="1" applyBorder="1" applyAlignment="1">
      <alignment horizontal="center"/>
    </xf>
    <xf numFmtId="0" fontId="102" fillId="0" borderId="0" xfId="0" applyFont="1" applyBorder="1" applyAlignment="1">
      <alignment/>
    </xf>
    <xf numFmtId="0" fontId="103" fillId="0" borderId="17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104" fillId="0" borderId="10" xfId="0" applyFont="1" applyBorder="1" applyAlignment="1">
      <alignment horizontal="center"/>
    </xf>
    <xf numFmtId="0" fontId="64" fillId="0" borderId="17" xfId="0" applyFont="1" applyBorder="1" applyAlignment="1">
      <alignment/>
    </xf>
    <xf numFmtId="16" fontId="88" fillId="0" borderId="10" xfId="0" applyNumberFormat="1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95" fillId="0" borderId="17" xfId="0" applyFont="1" applyBorder="1" applyAlignment="1">
      <alignment horizontal="center"/>
    </xf>
    <xf numFmtId="0" fontId="88" fillId="0" borderId="17" xfId="0" applyFont="1" applyBorder="1" applyAlignment="1">
      <alignment horizontal="center"/>
    </xf>
    <xf numFmtId="0" fontId="105" fillId="0" borderId="10" xfId="0" applyFont="1" applyBorder="1" applyAlignment="1">
      <alignment horizontal="center"/>
    </xf>
    <xf numFmtId="0" fontId="103" fillId="0" borderId="17" xfId="0" applyFont="1" applyBorder="1" applyAlignment="1">
      <alignment horizontal="left"/>
    </xf>
    <xf numFmtId="0" fontId="88" fillId="0" borderId="17" xfId="0" applyFont="1" applyBorder="1" applyAlignment="1">
      <alignment horizontal="left"/>
    </xf>
    <xf numFmtId="1" fontId="107" fillId="0" borderId="10" xfId="0" applyNumberFormat="1" applyFont="1" applyBorder="1" applyAlignment="1">
      <alignment horizontal="center"/>
    </xf>
    <xf numFmtId="0" fontId="107" fillId="0" borderId="17" xfId="0" applyFont="1" applyBorder="1" applyAlignment="1">
      <alignment horizontal="center"/>
    </xf>
    <xf numFmtId="1" fontId="95" fillId="0" borderId="17" xfId="0" applyNumberFormat="1" applyFont="1" applyBorder="1" applyAlignment="1">
      <alignment horizontal="center"/>
    </xf>
    <xf numFmtId="0" fontId="108" fillId="0" borderId="10" xfId="0" applyFont="1" applyBorder="1" applyAlignment="1">
      <alignment horizontal="center"/>
    </xf>
    <xf numFmtId="0" fontId="109" fillId="0" borderId="17" xfId="0" applyFont="1" applyBorder="1" applyAlignment="1">
      <alignment horizontal="left"/>
    </xf>
    <xf numFmtId="0" fontId="110" fillId="0" borderId="0" xfId="0" applyFont="1" applyAlignment="1">
      <alignment/>
    </xf>
    <xf numFmtId="0" fontId="88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1" fontId="88" fillId="0" borderId="21" xfId="0" applyNumberFormat="1" applyFont="1" applyBorder="1" applyAlignment="1">
      <alignment horizontal="center"/>
    </xf>
    <xf numFmtId="2" fontId="88" fillId="0" borderId="1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180" fontId="88" fillId="0" borderId="10" xfId="0" applyNumberFormat="1" applyFont="1" applyBorder="1" applyAlignment="1">
      <alignment horizontal="center"/>
    </xf>
    <xf numFmtId="1" fontId="64" fillId="0" borderId="17" xfId="0" applyNumberFormat="1" applyFont="1" applyBorder="1" applyAlignment="1">
      <alignment horizontal="center"/>
    </xf>
    <xf numFmtId="0" fontId="95" fillId="0" borderId="17" xfId="0" applyFont="1" applyBorder="1" applyAlignment="1">
      <alignment horizontal="right" vertical="top" wrapText="1"/>
    </xf>
    <xf numFmtId="180" fontId="108" fillId="0" borderId="10" xfId="0" applyNumberFormat="1" applyFont="1" applyBorder="1" applyAlignment="1">
      <alignment horizontal="center"/>
    </xf>
    <xf numFmtId="0" fontId="81" fillId="0" borderId="0" xfId="0" applyFont="1" applyBorder="1" applyAlignment="1">
      <alignment vertical="top" wrapText="1"/>
    </xf>
    <xf numFmtId="0" fontId="95" fillId="0" borderId="0" xfId="0" applyFont="1" applyBorder="1" applyAlignment="1">
      <alignment horizontal="left" vertical="top" wrapText="1"/>
    </xf>
    <xf numFmtId="0" fontId="95" fillId="0" borderId="17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/>
    </xf>
    <xf numFmtId="0" fontId="81" fillId="0" borderId="12" xfId="0" applyFont="1" applyBorder="1" applyAlignment="1">
      <alignment horizontal="left" vertical="top" wrapText="1"/>
    </xf>
    <xf numFmtId="0" fontId="81" fillId="0" borderId="16" xfId="0" applyFont="1" applyBorder="1" applyAlignment="1">
      <alignment horizontal="left" vertical="top" wrapText="1"/>
    </xf>
    <xf numFmtId="1" fontId="95" fillId="0" borderId="16" xfId="0" applyNumberFormat="1" applyFont="1" applyBorder="1" applyAlignment="1">
      <alignment horizontal="center"/>
    </xf>
    <xf numFmtId="0" fontId="89" fillId="0" borderId="0" xfId="0" applyFont="1" applyAlignment="1">
      <alignment horizontal="center"/>
    </xf>
    <xf numFmtId="1" fontId="111" fillId="0" borderId="0" xfId="0" applyNumberFormat="1" applyFont="1" applyAlignment="1">
      <alignment horizontal="center"/>
    </xf>
    <xf numFmtId="0" fontId="82" fillId="0" borderId="0" xfId="0" applyFont="1" applyBorder="1" applyAlignment="1">
      <alignment horizontal="left"/>
    </xf>
    <xf numFmtId="0" fontId="89" fillId="0" borderId="0" xfId="0" applyFont="1" applyBorder="1" applyAlignment="1">
      <alignment horizontal="center"/>
    </xf>
    <xf numFmtId="0" fontId="88" fillId="0" borderId="0" xfId="0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112" fillId="0" borderId="0" xfId="0" applyFont="1" applyAlignment="1">
      <alignment horizontal="center"/>
    </xf>
    <xf numFmtId="0" fontId="104" fillId="0" borderId="0" xfId="0" applyFont="1" applyAlignment="1">
      <alignment/>
    </xf>
    <xf numFmtId="14" fontId="102" fillId="0" borderId="0" xfId="0" applyNumberFormat="1" applyFont="1" applyBorder="1" applyAlignment="1">
      <alignment horizontal="left"/>
    </xf>
    <xf numFmtId="0" fontId="113" fillId="0" borderId="0" xfId="0" applyFont="1" applyAlignment="1">
      <alignment horizontal="right"/>
    </xf>
    <xf numFmtId="14" fontId="95" fillId="0" borderId="0" xfId="0" applyNumberFormat="1" applyFont="1" applyBorder="1" applyAlignment="1">
      <alignment/>
    </xf>
    <xf numFmtId="0" fontId="111" fillId="0" borderId="0" xfId="0" applyFont="1" applyBorder="1" applyAlignment="1">
      <alignment horizontal="center"/>
    </xf>
    <xf numFmtId="0" fontId="98" fillId="0" borderId="19" xfId="0" applyFont="1" applyBorder="1" applyAlignment="1">
      <alignment horizontal="center"/>
    </xf>
    <xf numFmtId="0" fontId="98" fillId="0" borderId="17" xfId="0" applyFont="1" applyBorder="1" applyAlignment="1">
      <alignment horizontal="center"/>
    </xf>
    <xf numFmtId="0" fontId="99" fillId="0" borderId="17" xfId="0" applyFont="1" applyBorder="1" applyAlignment="1">
      <alignment horizontal="center"/>
    </xf>
    <xf numFmtId="0" fontId="99" fillId="0" borderId="16" xfId="0" applyFont="1" applyBorder="1" applyAlignment="1">
      <alignment horizontal="center"/>
    </xf>
    <xf numFmtId="0" fontId="102" fillId="0" borderId="15" xfId="0" applyFont="1" applyBorder="1" applyAlignment="1">
      <alignment/>
    </xf>
    <xf numFmtId="0" fontId="64" fillId="0" borderId="19" xfId="0" applyFont="1" applyBorder="1" applyAlignment="1">
      <alignment/>
    </xf>
    <xf numFmtId="0" fontId="104" fillId="0" borderId="19" xfId="0" applyFont="1" applyBorder="1" applyAlignment="1">
      <alignment horizontal="center"/>
    </xf>
    <xf numFmtId="0" fontId="88" fillId="0" borderId="10" xfId="0" applyFont="1" applyBorder="1" applyAlignment="1">
      <alignment horizontal="center" vertical="top" wrapText="1"/>
    </xf>
    <xf numFmtId="1" fontId="106" fillId="0" borderId="10" xfId="0" applyNumberFormat="1" applyFont="1" applyBorder="1" applyAlignment="1">
      <alignment horizontal="center"/>
    </xf>
    <xf numFmtId="0" fontId="106" fillId="0" borderId="17" xfId="0" applyFont="1" applyBorder="1" applyAlignment="1">
      <alignment horizontal="center"/>
    </xf>
    <xf numFmtId="0" fontId="104" fillId="0" borderId="17" xfId="0" applyFont="1" applyBorder="1" applyAlignment="1">
      <alignment/>
    </xf>
    <xf numFmtId="0" fontId="106" fillId="0" borderId="17" xfId="0" applyFont="1" applyBorder="1" applyAlignment="1">
      <alignment horizontal="right"/>
    </xf>
    <xf numFmtId="0" fontId="115" fillId="0" borderId="17" xfId="0" applyFont="1" applyBorder="1" applyAlignment="1">
      <alignment horizontal="right"/>
    </xf>
    <xf numFmtId="0" fontId="94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116" fillId="0" borderId="17" xfId="0" applyFont="1" applyBorder="1" applyAlignment="1">
      <alignment horizontal="right"/>
    </xf>
    <xf numFmtId="0" fontId="64" fillId="0" borderId="12" xfId="0" applyFont="1" applyBorder="1" applyAlignment="1">
      <alignment/>
    </xf>
    <xf numFmtId="0" fontId="116" fillId="0" borderId="16" xfId="0" applyFont="1" applyBorder="1" applyAlignment="1">
      <alignment horizontal="right"/>
    </xf>
    <xf numFmtId="0" fontId="95" fillId="0" borderId="11" xfId="0" applyFont="1" applyBorder="1" applyAlignment="1">
      <alignment horizontal="center"/>
    </xf>
    <xf numFmtId="0" fontId="95" fillId="0" borderId="16" xfId="0" applyFont="1" applyBorder="1" applyAlignment="1">
      <alignment horizontal="center"/>
    </xf>
    <xf numFmtId="0" fontId="81" fillId="0" borderId="13" xfId="0" applyFont="1" applyBorder="1" applyAlignment="1">
      <alignment vertical="top" wrapText="1"/>
    </xf>
    <xf numFmtId="0" fontId="95" fillId="0" borderId="12" xfId="0" applyFont="1" applyBorder="1" applyAlignment="1">
      <alignment horizontal="left" vertical="top" wrapText="1"/>
    </xf>
    <xf numFmtId="0" fontId="94" fillId="0" borderId="12" xfId="0" applyFont="1" applyBorder="1" applyAlignment="1">
      <alignment/>
    </xf>
    <xf numFmtId="0" fontId="118" fillId="0" borderId="0" xfId="0" applyFont="1" applyBorder="1" applyAlignment="1">
      <alignment/>
    </xf>
    <xf numFmtId="0" fontId="81" fillId="0" borderId="10" xfId="0" applyFont="1" applyBorder="1" applyAlignment="1">
      <alignment vertical="top" wrapText="1"/>
    </xf>
    <xf numFmtId="0" fontId="95" fillId="0" borderId="16" xfId="0" applyFont="1" applyBorder="1" applyAlignment="1">
      <alignment horizontal="left" vertical="top" wrapText="1"/>
    </xf>
    <xf numFmtId="0" fontId="95" fillId="0" borderId="11" xfId="0" applyFont="1" applyBorder="1" applyAlignment="1">
      <alignment horizontal="left" vertical="top" wrapText="1"/>
    </xf>
    <xf numFmtId="0" fontId="118" fillId="0" borderId="16" xfId="0" applyFont="1" applyBorder="1" applyAlignment="1">
      <alignment/>
    </xf>
    <xf numFmtId="0" fontId="95" fillId="0" borderId="10" xfId="0" applyFont="1" applyBorder="1" applyAlignment="1">
      <alignment horizontal="left" vertical="top" wrapText="1"/>
    </xf>
    <xf numFmtId="1" fontId="106" fillId="0" borderId="17" xfId="0" applyNumberFormat="1" applyFont="1" applyBorder="1" applyAlignment="1">
      <alignment horizontal="center"/>
    </xf>
    <xf numFmtId="0" fontId="81" fillId="0" borderId="10" xfId="0" applyFont="1" applyBorder="1" applyAlignment="1">
      <alignment horizontal="left" vertical="top" wrapText="1"/>
    </xf>
    <xf numFmtId="0" fontId="81" fillId="0" borderId="16" xfId="0" applyFont="1" applyBorder="1" applyAlignment="1">
      <alignment horizontal="center"/>
    </xf>
    <xf numFmtId="0" fontId="94" fillId="0" borderId="16" xfId="0" applyFont="1" applyBorder="1" applyAlignment="1">
      <alignment horizontal="center"/>
    </xf>
    <xf numFmtId="0" fontId="106" fillId="0" borderId="16" xfId="0" applyFont="1" applyBorder="1" applyAlignment="1">
      <alignment horizontal="center"/>
    </xf>
    <xf numFmtId="0" fontId="88" fillId="0" borderId="11" xfId="0" applyFont="1" applyBorder="1" applyAlignment="1">
      <alignment horizontal="center" vertical="top" wrapText="1"/>
    </xf>
    <xf numFmtId="1" fontId="102" fillId="0" borderId="17" xfId="0" applyNumberFormat="1" applyFont="1" applyBorder="1" applyAlignment="1">
      <alignment horizontal="center"/>
    </xf>
    <xf numFmtId="0" fontId="102" fillId="0" borderId="17" xfId="0" applyFont="1" applyBorder="1" applyAlignment="1">
      <alignment horizontal="center"/>
    </xf>
    <xf numFmtId="0" fontId="104" fillId="0" borderId="10" xfId="0" applyFont="1" applyBorder="1" applyAlignment="1">
      <alignment/>
    </xf>
    <xf numFmtId="0" fontId="88" fillId="0" borderId="10" xfId="0" applyFont="1" applyBorder="1" applyAlignment="1">
      <alignment vertical="top" wrapText="1"/>
    </xf>
    <xf numFmtId="0" fontId="88" fillId="0" borderId="10" xfId="0" applyFont="1" applyBorder="1" applyAlignment="1">
      <alignment/>
    </xf>
    <xf numFmtId="0" fontId="106" fillId="0" borderId="11" xfId="0" applyFont="1" applyBorder="1" applyAlignment="1">
      <alignment horizontal="center"/>
    </xf>
    <xf numFmtId="0" fontId="106" fillId="0" borderId="12" xfId="0" applyFont="1" applyBorder="1" applyAlignment="1">
      <alignment horizontal="center"/>
    </xf>
    <xf numFmtId="0" fontId="117" fillId="0" borderId="11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 horizontal="right"/>
    </xf>
    <xf numFmtId="0" fontId="104" fillId="0" borderId="0" xfId="0" applyFont="1" applyBorder="1" applyAlignment="1">
      <alignment horizontal="center"/>
    </xf>
    <xf numFmtId="14" fontId="106" fillId="0" borderId="0" xfId="0" applyNumberFormat="1" applyFont="1" applyBorder="1" applyAlignment="1">
      <alignment horizontal="left"/>
    </xf>
    <xf numFmtId="0" fontId="91" fillId="0" borderId="10" xfId="0" applyFont="1" applyBorder="1" applyAlignment="1">
      <alignment horizontal="center"/>
    </xf>
    <xf numFmtId="0" fontId="119" fillId="0" borderId="0" xfId="0" applyFont="1" applyBorder="1" applyAlignment="1">
      <alignment/>
    </xf>
    <xf numFmtId="0" fontId="119" fillId="0" borderId="17" xfId="0" applyFont="1" applyBorder="1" applyAlignment="1">
      <alignment/>
    </xf>
    <xf numFmtId="0" fontId="120" fillId="0" borderId="17" xfId="0" applyFont="1" applyBorder="1" applyAlignment="1">
      <alignment horizontal="right"/>
    </xf>
    <xf numFmtId="0" fontId="91" fillId="0" borderId="17" xfId="0" applyFont="1" applyBorder="1" applyAlignment="1">
      <alignment horizontal="center"/>
    </xf>
    <xf numFmtId="0" fontId="91" fillId="0" borderId="10" xfId="0" applyFont="1" applyBorder="1" applyAlignment="1">
      <alignment/>
    </xf>
    <xf numFmtId="0" fontId="84" fillId="0" borderId="13" xfId="0" applyFont="1" applyBorder="1" applyAlignment="1">
      <alignment/>
    </xf>
    <xf numFmtId="0" fontId="84" fillId="0" borderId="0" xfId="0" applyFont="1" applyAlignment="1">
      <alignment/>
    </xf>
    <xf numFmtId="0" fontId="119" fillId="0" borderId="10" xfId="0" applyFont="1" applyBorder="1" applyAlignment="1">
      <alignment horizontal="center"/>
    </xf>
    <xf numFmtId="0" fontId="119" fillId="0" borderId="17" xfId="0" applyFont="1" applyBorder="1" applyAlignment="1">
      <alignment horizontal="center"/>
    </xf>
    <xf numFmtId="0" fontId="119" fillId="0" borderId="10" xfId="0" applyFont="1" applyBorder="1" applyAlignment="1">
      <alignment/>
    </xf>
    <xf numFmtId="0" fontId="119" fillId="0" borderId="0" xfId="0" applyFont="1" applyAlignment="1">
      <alignment/>
    </xf>
    <xf numFmtId="0" fontId="119" fillId="0" borderId="12" xfId="0" applyFont="1" applyBorder="1" applyAlignment="1">
      <alignment/>
    </xf>
    <xf numFmtId="0" fontId="119" fillId="0" borderId="16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6" xfId="0" applyFont="1" applyBorder="1" applyAlignment="1">
      <alignment/>
    </xf>
    <xf numFmtId="0" fontId="91" fillId="0" borderId="0" xfId="0" applyFont="1" applyBorder="1" applyAlignment="1">
      <alignment horizontal="left"/>
    </xf>
    <xf numFmtId="0" fontId="91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122" fillId="0" borderId="0" xfId="0" applyFont="1" applyBorder="1" applyAlignment="1">
      <alignment horizontal="center"/>
    </xf>
    <xf numFmtId="0" fontId="123" fillId="0" borderId="0" xfId="0" applyFont="1" applyBorder="1" applyAlignment="1">
      <alignment/>
    </xf>
    <xf numFmtId="0" fontId="123" fillId="0" borderId="0" xfId="0" applyFont="1" applyBorder="1" applyAlignment="1">
      <alignment horizontal="center"/>
    </xf>
    <xf numFmtId="0" fontId="123" fillId="0" borderId="0" xfId="0" applyFont="1" applyAlignment="1">
      <alignment/>
    </xf>
    <xf numFmtId="0" fontId="126" fillId="0" borderId="0" xfId="0" applyFont="1" applyBorder="1" applyAlignment="1">
      <alignment/>
    </xf>
    <xf numFmtId="14" fontId="126" fillId="0" borderId="0" xfId="0" applyNumberFormat="1" applyFont="1" applyBorder="1" applyAlignment="1">
      <alignment horizontal="left"/>
    </xf>
    <xf numFmtId="0" fontId="127" fillId="0" borderId="0" xfId="0" applyFont="1" applyAlignment="1">
      <alignment horizontal="right"/>
    </xf>
    <xf numFmtId="14" fontId="127" fillId="0" borderId="0" xfId="0" applyNumberFormat="1" applyFont="1" applyBorder="1" applyAlignment="1">
      <alignment/>
    </xf>
    <xf numFmtId="0" fontId="128" fillId="0" borderId="0" xfId="0" applyFont="1" applyBorder="1" applyAlignment="1">
      <alignment horizontal="center"/>
    </xf>
    <xf numFmtId="0" fontId="127" fillId="0" borderId="0" xfId="0" applyFont="1" applyAlignment="1">
      <alignment horizontal="center"/>
    </xf>
    <xf numFmtId="0" fontId="122" fillId="0" borderId="18" xfId="0" applyFont="1" applyBorder="1" applyAlignment="1">
      <alignment horizontal="center"/>
    </xf>
    <xf numFmtId="0" fontId="122" fillId="0" borderId="15" xfId="0" applyFont="1" applyBorder="1" applyAlignment="1">
      <alignment/>
    </xf>
    <xf numFmtId="0" fontId="129" fillId="0" borderId="15" xfId="0" applyFont="1" applyBorder="1" applyAlignment="1">
      <alignment horizontal="center"/>
    </xf>
    <xf numFmtId="0" fontId="122" fillId="0" borderId="18" xfId="0" applyFont="1" applyBorder="1" applyAlignment="1">
      <alignment/>
    </xf>
    <xf numFmtId="0" fontId="122" fillId="0" borderId="19" xfId="0" applyFont="1" applyBorder="1" applyAlignment="1">
      <alignment horizontal="center"/>
    </xf>
    <xf numFmtId="0" fontId="122" fillId="0" borderId="10" xfId="0" applyFont="1" applyBorder="1" applyAlignment="1">
      <alignment horizontal="center"/>
    </xf>
    <xf numFmtId="0" fontId="122" fillId="0" borderId="0" xfId="0" applyFont="1" applyBorder="1" applyAlignment="1">
      <alignment/>
    </xf>
    <xf numFmtId="0" fontId="122" fillId="0" borderId="10" xfId="0" applyFont="1" applyBorder="1" applyAlignment="1">
      <alignment/>
    </xf>
    <xf numFmtId="0" fontId="122" fillId="0" borderId="17" xfId="0" applyFont="1" applyBorder="1" applyAlignment="1">
      <alignment horizontal="center"/>
    </xf>
    <xf numFmtId="0" fontId="122" fillId="0" borderId="14" xfId="0" applyFont="1" applyBorder="1" applyAlignment="1">
      <alignment horizontal="center"/>
    </xf>
    <xf numFmtId="0" fontId="122" fillId="0" borderId="16" xfId="0" applyFont="1" applyBorder="1" applyAlignment="1">
      <alignment horizontal="center"/>
    </xf>
    <xf numFmtId="0" fontId="131" fillId="0" borderId="18" xfId="0" applyFont="1" applyBorder="1" applyAlignment="1">
      <alignment horizontal="center"/>
    </xf>
    <xf numFmtId="0" fontId="131" fillId="0" borderId="10" xfId="0" applyFont="1" applyBorder="1" applyAlignment="1">
      <alignment horizontal="center"/>
    </xf>
    <xf numFmtId="0" fontId="122" fillId="0" borderId="11" xfId="0" applyFont="1" applyBorder="1" applyAlignment="1">
      <alignment horizontal="center"/>
    </xf>
    <xf numFmtId="0" fontId="122" fillId="0" borderId="12" xfId="0" applyFont="1" applyBorder="1" applyAlignment="1">
      <alignment/>
    </xf>
    <xf numFmtId="0" fontId="122" fillId="0" borderId="11" xfId="0" applyFont="1" applyBorder="1" applyAlignment="1">
      <alignment/>
    </xf>
    <xf numFmtId="0" fontId="131" fillId="0" borderId="11" xfId="0" applyFont="1" applyBorder="1" applyAlignment="1">
      <alignment horizontal="center"/>
    </xf>
    <xf numFmtId="0" fontId="131" fillId="0" borderId="16" xfId="0" applyFont="1" applyBorder="1" applyAlignment="1">
      <alignment horizontal="center"/>
    </xf>
    <xf numFmtId="0" fontId="131" fillId="0" borderId="17" xfId="0" applyFont="1" applyBorder="1" applyAlignment="1">
      <alignment horizontal="center"/>
    </xf>
    <xf numFmtId="0" fontId="130" fillId="0" borderId="20" xfId="0" applyFont="1" applyBorder="1" applyAlignment="1">
      <alignment horizontal="center"/>
    </xf>
    <xf numFmtId="0" fontId="132" fillId="0" borderId="20" xfId="0" applyFont="1" applyBorder="1" applyAlignment="1">
      <alignment/>
    </xf>
    <xf numFmtId="0" fontId="126" fillId="0" borderId="15" xfId="0" applyFont="1" applyBorder="1" applyAlignment="1">
      <alignment/>
    </xf>
    <xf numFmtId="0" fontId="123" fillId="0" borderId="19" xfId="0" applyFont="1" applyBorder="1" applyAlignment="1">
      <alignment/>
    </xf>
    <xf numFmtId="0" fontId="123" fillId="0" borderId="15" xfId="0" applyFont="1" applyBorder="1" applyAlignment="1">
      <alignment horizontal="center"/>
    </xf>
    <xf numFmtId="0" fontId="133" fillId="0" borderId="18" xfId="0" applyFont="1" applyBorder="1" applyAlignment="1">
      <alignment horizontal="center"/>
    </xf>
    <xf numFmtId="0" fontId="123" fillId="0" borderId="18" xfId="0" applyFont="1" applyBorder="1" applyAlignment="1">
      <alignment horizontal="center"/>
    </xf>
    <xf numFmtId="0" fontId="104" fillId="0" borderId="15" xfId="0" applyFont="1" applyBorder="1" applyAlignment="1">
      <alignment horizontal="center"/>
    </xf>
    <xf numFmtId="1" fontId="130" fillId="0" borderId="18" xfId="0" applyNumberFormat="1" applyFont="1" applyBorder="1" applyAlignment="1">
      <alignment horizontal="center"/>
    </xf>
    <xf numFmtId="0" fontId="130" fillId="0" borderId="13" xfId="0" applyFont="1" applyBorder="1" applyAlignment="1">
      <alignment horizontal="center"/>
    </xf>
    <xf numFmtId="0" fontId="132" fillId="0" borderId="13" xfId="0" applyFont="1" applyBorder="1" applyAlignment="1">
      <alignment/>
    </xf>
    <xf numFmtId="0" fontId="123" fillId="0" borderId="17" xfId="0" applyFont="1" applyBorder="1" applyAlignment="1">
      <alignment/>
    </xf>
    <xf numFmtId="0" fontId="133" fillId="0" borderId="10" xfId="0" applyFont="1" applyBorder="1" applyAlignment="1">
      <alignment horizontal="center"/>
    </xf>
    <xf numFmtId="0" fontId="123" fillId="0" borderId="10" xfId="0" applyFont="1" applyBorder="1" applyAlignment="1">
      <alignment horizontal="center"/>
    </xf>
    <xf numFmtId="1" fontId="130" fillId="0" borderId="10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122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1" fontId="75" fillId="0" borderId="10" xfId="0" applyNumberFormat="1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75" fillId="0" borderId="13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17" xfId="0" applyFont="1" applyBorder="1" applyAlignment="1">
      <alignment/>
    </xf>
    <xf numFmtId="0" fontId="134" fillId="0" borderId="17" xfId="0" applyFont="1" applyBorder="1" applyAlignment="1">
      <alignment horizontal="right"/>
    </xf>
    <xf numFmtId="0" fontId="133" fillId="0" borderId="10" xfId="0" applyFont="1" applyBorder="1" applyAlignment="1">
      <alignment horizontal="left"/>
    </xf>
    <xf numFmtId="1" fontId="75" fillId="0" borderId="0" xfId="0" applyNumberFormat="1" applyFont="1" applyBorder="1" applyAlignment="1">
      <alignment horizontal="center"/>
    </xf>
    <xf numFmtId="0" fontId="123" fillId="0" borderId="13" xfId="0" applyFont="1" applyBorder="1" applyAlignment="1">
      <alignment/>
    </xf>
    <xf numFmtId="0" fontId="123" fillId="0" borderId="10" xfId="0" applyFont="1" applyBorder="1" applyAlignment="1">
      <alignment/>
    </xf>
    <xf numFmtId="0" fontId="104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125" fillId="0" borderId="17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125" fillId="0" borderId="17" xfId="0" applyFont="1" applyBorder="1" applyAlignment="1">
      <alignment horizontal="right"/>
    </xf>
    <xf numFmtId="0" fontId="123" fillId="0" borderId="14" xfId="0" applyFont="1" applyBorder="1" applyAlignment="1">
      <alignment/>
    </xf>
    <xf numFmtId="0" fontId="123" fillId="0" borderId="12" xfId="0" applyFont="1" applyBorder="1" applyAlignment="1">
      <alignment/>
    </xf>
    <xf numFmtId="0" fontId="75" fillId="0" borderId="12" xfId="0" applyFont="1" applyBorder="1" applyAlignment="1">
      <alignment/>
    </xf>
    <xf numFmtId="0" fontId="125" fillId="0" borderId="16" xfId="0" applyFont="1" applyBorder="1" applyAlignment="1">
      <alignment horizontal="right"/>
    </xf>
    <xf numFmtId="0" fontId="75" fillId="0" borderId="12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125" fillId="0" borderId="16" xfId="0" applyFont="1" applyBorder="1" applyAlignment="1">
      <alignment horizontal="center"/>
    </xf>
    <xf numFmtId="0" fontId="130" fillId="0" borderId="0" xfId="0" applyFont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75" fillId="0" borderId="0" xfId="0" applyFont="1" applyBorder="1" applyAlignment="1">
      <alignment vertical="top" wrapText="1"/>
    </xf>
    <xf numFmtId="0" fontId="75" fillId="0" borderId="17" xfId="0" applyFont="1" applyBorder="1" applyAlignment="1">
      <alignment vertical="top" wrapText="1"/>
    </xf>
    <xf numFmtId="1" fontId="74" fillId="0" borderId="10" xfId="0" applyNumberFormat="1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0" fontId="75" fillId="0" borderId="0" xfId="0" applyFont="1" applyAlignment="1">
      <alignment/>
    </xf>
    <xf numFmtId="0" fontId="75" fillId="0" borderId="0" xfId="0" applyFont="1" applyBorder="1" applyAlignment="1">
      <alignment horizontal="right"/>
    </xf>
    <xf numFmtId="0" fontId="123" fillId="0" borderId="0" xfId="0" applyFont="1" applyBorder="1" applyAlignment="1">
      <alignment horizontal="left"/>
    </xf>
    <xf numFmtId="0" fontId="135" fillId="0" borderId="0" xfId="0" applyFont="1" applyBorder="1" applyAlignment="1">
      <alignment/>
    </xf>
    <xf numFmtId="0" fontId="131" fillId="0" borderId="0" xfId="0" applyFont="1" applyAlignment="1">
      <alignment horizontal="center"/>
    </xf>
    <xf numFmtId="0" fontId="135" fillId="0" borderId="0" xfId="0" applyFont="1" applyBorder="1" applyAlignment="1">
      <alignment horizontal="center"/>
    </xf>
    <xf numFmtId="0" fontId="135" fillId="0" borderId="0" xfId="0" applyFont="1" applyAlignment="1">
      <alignment/>
    </xf>
    <xf numFmtId="0" fontId="136" fillId="0" borderId="0" xfId="0" applyFont="1" applyBorder="1" applyAlignment="1">
      <alignment horizontal="center"/>
    </xf>
    <xf numFmtId="0" fontId="136" fillId="0" borderId="0" xfId="0" applyFont="1" applyBorder="1" applyAlignment="1">
      <alignment/>
    </xf>
    <xf numFmtId="0" fontId="136" fillId="0" borderId="0" xfId="0" applyFont="1" applyBorder="1" applyAlignment="1">
      <alignment horizontal="right"/>
    </xf>
    <xf numFmtId="0" fontId="135" fillId="0" borderId="0" xfId="0" applyFont="1" applyBorder="1" applyAlignment="1">
      <alignment horizontal="right"/>
    </xf>
    <xf numFmtId="0" fontId="137" fillId="0" borderId="0" xfId="0" applyFont="1" applyBorder="1" applyAlignment="1">
      <alignment horizontal="center"/>
    </xf>
    <xf numFmtId="0" fontId="138" fillId="0" borderId="0" xfId="0" applyFont="1" applyBorder="1" applyAlignment="1">
      <alignment horizontal="center"/>
    </xf>
    <xf numFmtId="0" fontId="139" fillId="0" borderId="0" xfId="0" applyFont="1" applyBorder="1" applyAlignment="1">
      <alignment horizontal="center"/>
    </xf>
    <xf numFmtId="0" fontId="140" fillId="0" borderId="0" xfId="0" applyFont="1" applyBorder="1" applyAlignment="1">
      <alignment horizontal="center"/>
    </xf>
    <xf numFmtId="0" fontId="141" fillId="0" borderId="0" xfId="0" applyFont="1" applyBorder="1" applyAlignment="1">
      <alignment horizontal="center"/>
    </xf>
    <xf numFmtId="0" fontId="139" fillId="0" borderId="0" xfId="0" applyFont="1" applyBorder="1" applyAlignment="1">
      <alignment horizontal="right"/>
    </xf>
    <xf numFmtId="14" fontId="139" fillId="0" borderId="0" xfId="0" applyNumberFormat="1" applyFont="1" applyBorder="1" applyAlignment="1">
      <alignment horizontal="left"/>
    </xf>
    <xf numFmtId="14" fontId="142" fillId="0" borderId="0" xfId="0" applyNumberFormat="1" applyFont="1" applyBorder="1" applyAlignment="1">
      <alignment horizontal="left"/>
    </xf>
    <xf numFmtId="0" fontId="137" fillId="0" borderId="18" xfId="0" applyFont="1" applyBorder="1" applyAlignment="1">
      <alignment horizontal="center"/>
    </xf>
    <xf numFmtId="0" fontId="137" fillId="0" borderId="15" xfId="0" applyFont="1" applyBorder="1" applyAlignment="1">
      <alignment/>
    </xf>
    <xf numFmtId="0" fontId="143" fillId="0" borderId="15" xfId="0" applyFont="1" applyBorder="1" applyAlignment="1">
      <alignment horizontal="center"/>
    </xf>
    <xf numFmtId="0" fontId="137" fillId="0" borderId="19" xfId="0" applyFont="1" applyBorder="1" applyAlignment="1">
      <alignment/>
    </xf>
    <xf numFmtId="0" fontId="137" fillId="0" borderId="10" xfId="0" applyFont="1" applyBorder="1" applyAlignment="1">
      <alignment horizontal="center"/>
    </xf>
    <xf numFmtId="0" fontId="137" fillId="0" borderId="0" xfId="0" applyFont="1" applyBorder="1" applyAlignment="1">
      <alignment/>
    </xf>
    <xf numFmtId="0" fontId="137" fillId="0" borderId="17" xfId="0" applyFont="1" applyBorder="1" applyAlignment="1">
      <alignment/>
    </xf>
    <xf numFmtId="0" fontId="135" fillId="0" borderId="14" xfId="0" applyFont="1" applyBorder="1" applyAlignment="1">
      <alignment horizontal="center"/>
    </xf>
    <xf numFmtId="0" fontId="135" fillId="0" borderId="16" xfId="0" applyFont="1" applyBorder="1" applyAlignment="1">
      <alignment horizontal="center"/>
    </xf>
    <xf numFmtId="0" fontId="135" fillId="0" borderId="10" xfId="0" applyFont="1" applyBorder="1" applyAlignment="1">
      <alignment horizontal="center"/>
    </xf>
    <xf numFmtId="0" fontId="144" fillId="0" borderId="16" xfId="0" applyFont="1" applyBorder="1" applyAlignment="1">
      <alignment horizontal="center"/>
    </xf>
    <xf numFmtId="0" fontId="137" fillId="0" borderId="17" xfId="0" applyFont="1" applyBorder="1" applyAlignment="1">
      <alignment horizontal="center"/>
    </xf>
    <xf numFmtId="0" fontId="137" fillId="0" borderId="11" xfId="0" applyFont="1" applyBorder="1" applyAlignment="1">
      <alignment horizontal="center"/>
    </xf>
    <xf numFmtId="0" fontId="137" fillId="0" borderId="12" xfId="0" applyFont="1" applyBorder="1" applyAlignment="1">
      <alignment/>
    </xf>
    <xf numFmtId="0" fontId="137" fillId="0" borderId="16" xfId="0" applyFont="1" applyBorder="1" applyAlignment="1">
      <alignment/>
    </xf>
    <xf numFmtId="0" fontId="135" fillId="0" borderId="11" xfId="0" applyFont="1" applyBorder="1" applyAlignment="1">
      <alignment horizontal="center"/>
    </xf>
    <xf numFmtId="0" fontId="142" fillId="0" borderId="11" xfId="0" applyFont="1" applyBorder="1" applyAlignment="1">
      <alignment horizontal="center"/>
    </xf>
    <xf numFmtId="0" fontId="144" fillId="0" borderId="11" xfId="0" applyFont="1" applyBorder="1" applyAlignment="1">
      <alignment horizontal="center"/>
    </xf>
    <xf numFmtId="0" fontId="137" fillId="0" borderId="13" xfId="0" applyFont="1" applyBorder="1" applyAlignment="1">
      <alignment horizontal="center"/>
    </xf>
    <xf numFmtId="0" fontId="145" fillId="0" borderId="10" xfId="0" applyFont="1" applyBorder="1" applyAlignment="1">
      <alignment horizontal="center"/>
    </xf>
    <xf numFmtId="0" fontId="146" fillId="0" borderId="10" xfId="0" applyFont="1" applyBorder="1" applyAlignment="1">
      <alignment horizontal="center"/>
    </xf>
    <xf numFmtId="0" fontId="146" fillId="0" borderId="17" xfId="0" applyFont="1" applyBorder="1" applyAlignment="1">
      <alignment horizontal="center"/>
    </xf>
    <xf numFmtId="0" fontId="147" fillId="0" borderId="10" xfId="0" applyFont="1" applyBorder="1" applyAlignment="1">
      <alignment horizontal="center"/>
    </xf>
    <xf numFmtId="0" fontId="138" fillId="0" borderId="0" xfId="0" applyFont="1" applyBorder="1" applyAlignment="1">
      <alignment horizontal="left"/>
    </xf>
    <xf numFmtId="0" fontId="148" fillId="0" borderId="0" xfId="0" applyFont="1" applyBorder="1" applyAlignment="1">
      <alignment/>
    </xf>
    <xf numFmtId="0" fontId="148" fillId="0" borderId="17" xfId="0" applyFont="1" applyBorder="1" applyAlignment="1">
      <alignment/>
    </xf>
    <xf numFmtId="0" fontId="149" fillId="0" borderId="17" xfId="0" applyFont="1" applyBorder="1" applyAlignment="1">
      <alignment horizontal="center"/>
    </xf>
    <xf numFmtId="0" fontId="149" fillId="0" borderId="13" xfId="0" applyFont="1" applyBorder="1" applyAlignment="1">
      <alignment horizontal="center"/>
    </xf>
    <xf numFmtId="0" fontId="149" fillId="0" borderId="10" xfId="0" applyFont="1" applyBorder="1" applyAlignment="1">
      <alignment horizontal="center"/>
    </xf>
    <xf numFmtId="1" fontId="150" fillId="0" borderId="10" xfId="0" applyNumberFormat="1" applyFont="1" applyBorder="1" applyAlignment="1">
      <alignment horizontal="center"/>
    </xf>
    <xf numFmtId="0" fontId="149" fillId="0" borderId="17" xfId="0" applyFont="1" applyBorder="1" applyAlignment="1">
      <alignment/>
    </xf>
    <xf numFmtId="0" fontId="135" fillId="0" borderId="17" xfId="0" applyFont="1" applyBorder="1" applyAlignment="1">
      <alignment horizontal="center"/>
    </xf>
    <xf numFmtId="0" fontId="135" fillId="0" borderId="10" xfId="0" applyFont="1" applyBorder="1" applyAlignment="1">
      <alignment/>
    </xf>
    <xf numFmtId="0" fontId="135" fillId="0" borderId="17" xfId="0" applyFont="1" applyBorder="1" applyAlignment="1">
      <alignment/>
    </xf>
    <xf numFmtId="0" fontId="136" fillId="0" borderId="10" xfId="0" applyFont="1" applyBorder="1" applyAlignment="1">
      <alignment horizontal="center"/>
    </xf>
    <xf numFmtId="0" fontId="151" fillId="0" borderId="17" xfId="0" applyFont="1" applyBorder="1" applyAlignment="1">
      <alignment horizontal="right"/>
    </xf>
    <xf numFmtId="0" fontId="152" fillId="0" borderId="17" xfId="0" applyFont="1" applyBorder="1" applyAlignment="1">
      <alignment horizontal="left"/>
    </xf>
    <xf numFmtId="0" fontId="153" fillId="0" borderId="0" xfId="0" applyFont="1" applyBorder="1" applyAlignment="1">
      <alignment/>
    </xf>
    <xf numFmtId="0" fontId="153" fillId="0" borderId="10" xfId="0" applyFont="1" applyBorder="1" applyAlignment="1">
      <alignment horizontal="center"/>
    </xf>
    <xf numFmtId="0" fontId="153" fillId="0" borderId="17" xfId="0" applyFont="1" applyBorder="1" applyAlignment="1">
      <alignment/>
    </xf>
    <xf numFmtId="0" fontId="154" fillId="0" borderId="10" xfId="0" applyFont="1" applyBorder="1" applyAlignment="1">
      <alignment/>
    </xf>
    <xf numFmtId="0" fontId="154" fillId="0" borderId="17" xfId="0" applyFont="1" applyBorder="1" applyAlignment="1">
      <alignment horizontal="center"/>
    </xf>
    <xf numFmtId="0" fontId="153" fillId="0" borderId="10" xfId="0" applyFont="1" applyBorder="1" applyAlignment="1">
      <alignment/>
    </xf>
    <xf numFmtId="0" fontId="136" fillId="0" borderId="17" xfId="0" applyFont="1" applyBorder="1" applyAlignment="1">
      <alignment horizontal="center"/>
    </xf>
    <xf numFmtId="0" fontId="148" fillId="0" borderId="13" xfId="0" applyFont="1" applyBorder="1" applyAlignment="1">
      <alignment vertical="top" wrapText="1"/>
    </xf>
    <xf numFmtId="0" fontId="148" fillId="0" borderId="0" xfId="0" applyFont="1" applyBorder="1" applyAlignment="1">
      <alignment vertical="top" wrapText="1"/>
    </xf>
    <xf numFmtId="0" fontId="153" fillId="0" borderId="12" xfId="0" applyFont="1" applyBorder="1" applyAlignment="1">
      <alignment/>
    </xf>
    <xf numFmtId="0" fontId="153" fillId="0" borderId="16" xfId="0" applyFont="1" applyBorder="1" applyAlignment="1">
      <alignment/>
    </xf>
    <xf numFmtId="0" fontId="135" fillId="0" borderId="12" xfId="0" applyFont="1" applyBorder="1" applyAlignment="1">
      <alignment/>
    </xf>
    <xf numFmtId="0" fontId="135" fillId="0" borderId="11" xfId="0" applyFont="1" applyBorder="1" applyAlignment="1">
      <alignment/>
    </xf>
    <xf numFmtId="0" fontId="135" fillId="0" borderId="16" xfId="0" applyFont="1" applyBorder="1" applyAlignment="1">
      <alignment/>
    </xf>
    <xf numFmtId="0" fontId="136" fillId="0" borderId="0" xfId="0" applyFont="1" applyAlignment="1">
      <alignment/>
    </xf>
    <xf numFmtId="0" fontId="136" fillId="0" borderId="0" xfId="0" applyFont="1" applyBorder="1" applyAlignment="1">
      <alignment horizontal="left"/>
    </xf>
    <xf numFmtId="0" fontId="97" fillId="0" borderId="12" xfId="0" applyFont="1" applyBorder="1" applyAlignment="1">
      <alignment horizontal="center"/>
    </xf>
    <xf numFmtId="0" fontId="81" fillId="0" borderId="0" xfId="0" applyFont="1" applyAlignment="1">
      <alignment horizontal="center"/>
    </xf>
    <xf numFmtId="1" fontId="95" fillId="0" borderId="0" xfId="0" applyNumberFormat="1" applyFont="1" applyBorder="1" applyAlignment="1">
      <alignment horizontal="center"/>
    </xf>
    <xf numFmtId="0" fontId="81" fillId="0" borderId="19" xfId="0" applyFont="1" applyBorder="1" applyAlignment="1">
      <alignment/>
    </xf>
    <xf numFmtId="0" fontId="81" fillId="0" borderId="20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15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1" fontId="95" fillId="0" borderId="15" xfId="0" applyNumberFormat="1" applyFont="1" applyBorder="1" applyAlignment="1">
      <alignment horizontal="center"/>
    </xf>
    <xf numFmtId="0" fontId="81" fillId="0" borderId="0" xfId="0" applyFont="1" applyAlignment="1">
      <alignment horizontal="left"/>
    </xf>
    <xf numFmtId="0" fontId="15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156" fillId="0" borderId="10" xfId="0" applyFont="1" applyBorder="1" applyAlignment="1">
      <alignment horizontal="center"/>
    </xf>
    <xf numFmtId="1" fontId="75" fillId="0" borderId="17" xfId="0" applyNumberFormat="1" applyFont="1" applyBorder="1" applyAlignment="1">
      <alignment horizontal="center"/>
    </xf>
    <xf numFmtId="1" fontId="15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60" fillId="0" borderId="13" xfId="0" applyFont="1" applyBorder="1" applyAlignment="1">
      <alignment horizontal="right"/>
    </xf>
    <xf numFmtId="0" fontId="3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64" fillId="0" borderId="13" xfId="0" applyFont="1" applyBorder="1" applyAlignment="1">
      <alignment horizontal="center"/>
    </xf>
    <xf numFmtId="0" fontId="165" fillId="0" borderId="17" xfId="0" applyFont="1" applyBorder="1" applyAlignment="1">
      <alignment horizontal="center"/>
    </xf>
    <xf numFmtId="1" fontId="166" fillId="0" borderId="0" xfId="0" applyNumberFormat="1" applyFont="1" applyBorder="1" applyAlignment="1">
      <alignment horizontal="center"/>
    </xf>
    <xf numFmtId="0" fontId="81" fillId="0" borderId="22" xfId="0" applyFont="1" applyBorder="1" applyAlignment="1">
      <alignment/>
    </xf>
    <xf numFmtId="0" fontId="64" fillId="0" borderId="23" xfId="0" applyFont="1" applyBorder="1" applyAlignment="1">
      <alignment/>
    </xf>
    <xf numFmtId="0" fontId="165" fillId="0" borderId="24" xfId="0" applyFont="1" applyBorder="1" applyAlignment="1">
      <alignment horizontal="center"/>
    </xf>
    <xf numFmtId="0" fontId="95" fillId="0" borderId="0" xfId="0" applyFont="1" applyBorder="1" applyAlignment="1">
      <alignment horizontal="right" vertical="top" wrapText="1"/>
    </xf>
    <xf numFmtId="1" fontId="64" fillId="0" borderId="17" xfId="0" applyNumberFormat="1" applyFont="1" applyBorder="1" applyAlignment="1">
      <alignment/>
    </xf>
    <xf numFmtId="0" fontId="102" fillId="0" borderId="17" xfId="0" applyFont="1" applyBorder="1" applyAlignment="1">
      <alignment horizontal="right" vertical="top" wrapText="1"/>
    </xf>
    <xf numFmtId="0" fontId="88" fillId="0" borderId="0" xfId="0" applyFont="1" applyBorder="1" applyAlignment="1">
      <alignment horizontal="center" vertical="top" wrapText="1"/>
    </xf>
    <xf numFmtId="0" fontId="95" fillId="0" borderId="20" xfId="0" applyFont="1" applyBorder="1" applyAlignment="1">
      <alignment horizontal="center"/>
    </xf>
    <xf numFmtId="0" fontId="95" fillId="0" borderId="13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3" fillId="0" borderId="2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101" fillId="0" borderId="20" xfId="0" applyFont="1" applyBorder="1" applyAlignment="1">
      <alignment/>
    </xf>
    <xf numFmtId="0" fontId="101" fillId="0" borderId="13" xfId="0" applyFont="1" applyBorder="1" applyAlignment="1">
      <alignment/>
    </xf>
    <xf numFmtId="0" fontId="81" fillId="0" borderId="13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95" fillId="0" borderId="13" xfId="0" applyFont="1" applyBorder="1" applyAlignment="1">
      <alignment horizontal="left" vertical="top" wrapText="1"/>
    </xf>
    <xf numFmtId="0" fontId="118" fillId="0" borderId="13" xfId="0" applyFont="1" applyBorder="1" applyAlignment="1">
      <alignment/>
    </xf>
    <xf numFmtId="0" fontId="95" fillId="0" borderId="14" xfId="0" applyFont="1" applyBorder="1" applyAlignment="1">
      <alignment horizontal="left" vertical="top" wrapText="1"/>
    </xf>
    <xf numFmtId="0" fontId="88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95" fillId="0" borderId="0" xfId="0" applyFont="1" applyBorder="1" applyAlignment="1">
      <alignment vertical="top" wrapText="1"/>
    </xf>
    <xf numFmtId="0" fontId="103" fillId="0" borderId="18" xfId="0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103" fillId="0" borderId="10" xfId="0" applyFont="1" applyBorder="1" applyAlignment="1">
      <alignment horizontal="left"/>
    </xf>
    <xf numFmtId="0" fontId="88" fillId="0" borderId="10" xfId="0" applyFont="1" applyBorder="1" applyAlignment="1">
      <alignment horizontal="left"/>
    </xf>
    <xf numFmtId="1" fontId="95" fillId="0" borderId="19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vertical="top" wrapText="1"/>
    </xf>
    <xf numFmtId="0" fontId="16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0" fontId="168" fillId="0" borderId="0" xfId="0" applyFont="1" applyBorder="1" applyAlignment="1">
      <alignment horizontal="center"/>
    </xf>
    <xf numFmtId="0" fontId="169" fillId="0" borderId="0" xfId="0" applyFont="1" applyBorder="1" applyAlignment="1">
      <alignment/>
    </xf>
    <xf numFmtId="0" fontId="170" fillId="0" borderId="0" xfId="0" applyFont="1" applyBorder="1" applyAlignment="1">
      <alignment horizontal="left"/>
    </xf>
    <xf numFmtId="0" fontId="170" fillId="0" borderId="0" xfId="0" applyFont="1" applyBorder="1" applyAlignment="1">
      <alignment/>
    </xf>
    <xf numFmtId="0" fontId="169" fillId="0" borderId="0" xfId="0" applyFont="1" applyAlignment="1">
      <alignment/>
    </xf>
    <xf numFmtId="0" fontId="170" fillId="0" borderId="0" xfId="0" applyFont="1" applyBorder="1" applyAlignment="1">
      <alignment horizontal="right"/>
    </xf>
    <xf numFmtId="0" fontId="170" fillId="0" borderId="0" xfId="0" applyFont="1" applyBorder="1" applyAlignment="1">
      <alignment horizontal="center"/>
    </xf>
    <xf numFmtId="0" fontId="170" fillId="0" borderId="12" xfId="0" applyFont="1" applyBorder="1" applyAlignment="1">
      <alignment horizontal="center"/>
    </xf>
    <xf numFmtId="0" fontId="170" fillId="0" borderId="12" xfId="0" applyFont="1" applyBorder="1" applyAlignment="1">
      <alignment horizontal="right"/>
    </xf>
    <xf numFmtId="0" fontId="169" fillId="0" borderId="0" xfId="0" applyFont="1" applyBorder="1" applyAlignment="1">
      <alignment horizontal="left"/>
    </xf>
    <xf numFmtId="0" fontId="172" fillId="0" borderId="0" xfId="0" applyFont="1" applyBorder="1" applyAlignment="1">
      <alignment horizontal="center"/>
    </xf>
    <xf numFmtId="0" fontId="174" fillId="0" borderId="0" xfId="0" applyFont="1" applyBorder="1" applyAlignment="1">
      <alignment horizontal="right"/>
    </xf>
    <xf numFmtId="14" fontId="174" fillId="0" borderId="0" xfId="0" applyNumberFormat="1" applyFont="1" applyBorder="1" applyAlignment="1">
      <alignment horizontal="left"/>
    </xf>
    <xf numFmtId="0" fontId="169" fillId="0" borderId="18" xfId="0" applyFont="1" applyBorder="1" applyAlignment="1">
      <alignment horizontal="center"/>
    </xf>
    <xf numFmtId="0" fontId="169" fillId="0" borderId="20" xfId="0" applyFont="1" applyBorder="1" applyAlignment="1">
      <alignment/>
    </xf>
    <xf numFmtId="0" fontId="169" fillId="0" borderId="15" xfId="0" applyFont="1" applyBorder="1" applyAlignment="1">
      <alignment/>
    </xf>
    <xf numFmtId="0" fontId="169" fillId="0" borderId="19" xfId="0" applyFont="1" applyBorder="1" applyAlignment="1">
      <alignment/>
    </xf>
    <xf numFmtId="0" fontId="175" fillId="0" borderId="18" xfId="0" applyFont="1" applyBorder="1" applyAlignment="1">
      <alignment horizontal="left"/>
    </xf>
    <xf numFmtId="0" fontId="175" fillId="0" borderId="18" xfId="0" applyFont="1" applyBorder="1" applyAlignment="1">
      <alignment horizontal="center"/>
    </xf>
    <xf numFmtId="0" fontId="173" fillId="0" borderId="18" xfId="0" applyFont="1" applyBorder="1" applyAlignment="1">
      <alignment horizontal="center"/>
    </xf>
    <xf numFmtId="0" fontId="175" fillId="0" borderId="10" xfId="0" applyFont="1" applyBorder="1" applyAlignment="1">
      <alignment horizontal="center"/>
    </xf>
    <xf numFmtId="0" fontId="175" fillId="0" borderId="13" xfId="0" applyFont="1" applyBorder="1" applyAlignment="1">
      <alignment horizontal="center"/>
    </xf>
    <xf numFmtId="0" fontId="175" fillId="0" borderId="0" xfId="0" applyFont="1" applyBorder="1" applyAlignment="1">
      <alignment horizontal="center"/>
    </xf>
    <xf numFmtId="0" fontId="175" fillId="0" borderId="17" xfId="0" applyFont="1" applyBorder="1" applyAlignment="1">
      <alignment horizontal="center"/>
    </xf>
    <xf numFmtId="0" fontId="173" fillId="0" borderId="10" xfId="0" applyFont="1" applyBorder="1" applyAlignment="1">
      <alignment horizontal="center"/>
    </xf>
    <xf numFmtId="14" fontId="175" fillId="0" borderId="10" xfId="0" applyNumberFormat="1" applyFont="1" applyBorder="1" applyAlignment="1">
      <alignment horizontal="center"/>
    </xf>
    <xf numFmtId="0" fontId="169" fillId="0" borderId="11" xfId="0" applyFont="1" applyBorder="1" applyAlignment="1">
      <alignment horizontal="center"/>
    </xf>
    <xf numFmtId="0" fontId="169" fillId="0" borderId="14" xfId="0" applyFont="1" applyBorder="1" applyAlignment="1">
      <alignment/>
    </xf>
    <xf numFmtId="0" fontId="169" fillId="0" borderId="12" xfId="0" applyFont="1" applyBorder="1" applyAlignment="1">
      <alignment/>
    </xf>
    <xf numFmtId="0" fontId="169" fillId="0" borderId="16" xfId="0" applyFont="1" applyBorder="1" applyAlignment="1">
      <alignment/>
    </xf>
    <xf numFmtId="0" fontId="175" fillId="0" borderId="11" xfId="0" applyFont="1" applyBorder="1" applyAlignment="1">
      <alignment horizontal="left"/>
    </xf>
    <xf numFmtId="0" fontId="176" fillId="0" borderId="11" xfId="0" applyFont="1" applyBorder="1" applyAlignment="1">
      <alignment horizontal="center"/>
    </xf>
    <xf numFmtId="0" fontId="173" fillId="0" borderId="11" xfId="0" applyFont="1" applyBorder="1" applyAlignment="1">
      <alignment horizontal="center"/>
    </xf>
    <xf numFmtId="0" fontId="169" fillId="0" borderId="10" xfId="0" applyFont="1" applyBorder="1" applyAlignment="1">
      <alignment/>
    </xf>
    <xf numFmtId="0" fontId="169" fillId="0" borderId="13" xfId="0" applyFont="1" applyBorder="1" applyAlignment="1">
      <alignment/>
    </xf>
    <xf numFmtId="0" fontId="169" fillId="0" borderId="17" xfId="0" applyFont="1" applyBorder="1" applyAlignment="1">
      <alignment/>
    </xf>
    <xf numFmtId="0" fontId="177" fillId="0" borderId="10" xfId="0" applyFont="1" applyBorder="1" applyAlignment="1">
      <alignment horizontal="center"/>
    </xf>
    <xf numFmtId="0" fontId="171" fillId="0" borderId="13" xfId="0" applyFont="1" applyBorder="1" applyAlignment="1">
      <alignment/>
    </xf>
    <xf numFmtId="0" fontId="172" fillId="0" borderId="0" xfId="0" applyFont="1" applyBorder="1" applyAlignment="1">
      <alignment horizontal="left"/>
    </xf>
    <xf numFmtId="0" fontId="178" fillId="0" borderId="10" xfId="0" applyFont="1" applyBorder="1" applyAlignment="1">
      <alignment horizontal="center"/>
    </xf>
    <xf numFmtId="0" fontId="179" fillId="0" borderId="13" xfId="0" applyFont="1" applyBorder="1" applyAlignment="1">
      <alignment/>
    </xf>
    <xf numFmtId="0" fontId="180" fillId="0" borderId="0" xfId="0" applyFont="1" applyBorder="1" applyAlignment="1">
      <alignment horizontal="left"/>
    </xf>
    <xf numFmtId="0" fontId="170" fillId="0" borderId="10" xfId="0" applyFont="1" applyBorder="1" applyAlignment="1">
      <alignment horizontal="center"/>
    </xf>
    <xf numFmtId="0" fontId="170" fillId="0" borderId="13" xfId="0" applyFont="1" applyBorder="1" applyAlignment="1">
      <alignment/>
    </xf>
    <xf numFmtId="0" fontId="170" fillId="0" borderId="17" xfId="0" applyFont="1" applyBorder="1" applyAlignment="1">
      <alignment/>
    </xf>
    <xf numFmtId="0" fontId="170" fillId="0" borderId="10" xfId="0" applyFont="1" applyBorder="1" applyAlignment="1">
      <alignment/>
    </xf>
    <xf numFmtId="0" fontId="170" fillId="0" borderId="0" xfId="0" applyFont="1" applyAlignment="1">
      <alignment/>
    </xf>
    <xf numFmtId="0" fontId="181" fillId="0" borderId="0" xfId="0" applyFont="1" applyBorder="1" applyAlignment="1">
      <alignment horizontal="right"/>
    </xf>
    <xf numFmtId="0" fontId="182" fillId="0" borderId="10" xfId="0" applyFont="1" applyBorder="1" applyAlignment="1">
      <alignment horizontal="left"/>
    </xf>
    <xf numFmtId="1" fontId="170" fillId="0" borderId="10" xfId="0" applyNumberFormat="1" applyFont="1" applyBorder="1" applyAlignment="1">
      <alignment horizontal="center"/>
    </xf>
    <xf numFmtId="1" fontId="183" fillId="0" borderId="10" xfId="0" applyNumberFormat="1" applyFont="1" applyBorder="1" applyAlignment="1">
      <alignment horizontal="center"/>
    </xf>
    <xf numFmtId="0" fontId="170" fillId="0" borderId="11" xfId="0" applyFont="1" applyBorder="1" applyAlignment="1">
      <alignment/>
    </xf>
    <xf numFmtId="0" fontId="170" fillId="0" borderId="14" xfId="0" applyFont="1" applyBorder="1" applyAlignment="1">
      <alignment/>
    </xf>
    <xf numFmtId="0" fontId="170" fillId="0" borderId="12" xfId="0" applyFont="1" applyBorder="1" applyAlignment="1">
      <alignment/>
    </xf>
    <xf numFmtId="0" fontId="170" fillId="0" borderId="16" xfId="0" applyFont="1" applyBorder="1" applyAlignment="1">
      <alignment/>
    </xf>
    <xf numFmtId="0" fontId="175" fillId="0" borderId="0" xfId="0" applyFont="1" applyBorder="1" applyAlignment="1">
      <alignment horizontal="left"/>
    </xf>
    <xf numFmtId="0" fontId="175" fillId="0" borderId="0" xfId="0" applyFont="1" applyBorder="1" applyAlignment="1">
      <alignment/>
    </xf>
    <xf numFmtId="0" fontId="175" fillId="0" borderId="0" xfId="0" applyFont="1" applyAlignment="1">
      <alignment/>
    </xf>
    <xf numFmtId="0" fontId="177" fillId="0" borderId="21" xfId="0" applyFont="1" applyBorder="1" applyAlignment="1">
      <alignment vertical="top" wrapText="1"/>
    </xf>
    <xf numFmtId="0" fontId="176" fillId="0" borderId="0" xfId="0" applyFont="1" applyBorder="1" applyAlignment="1">
      <alignment/>
    </xf>
    <xf numFmtId="0" fontId="184" fillId="0" borderId="13" xfId="0" applyFont="1" applyBorder="1" applyAlignment="1">
      <alignment/>
    </xf>
    <xf numFmtId="0" fontId="183" fillId="0" borderId="17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8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4" fontId="77" fillId="0" borderId="17" xfId="0" applyNumberFormat="1" applyFont="1" applyBorder="1" applyAlignment="1">
      <alignment horizontal="center"/>
    </xf>
    <xf numFmtId="0" fontId="186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188" fillId="0" borderId="0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93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98" fillId="0" borderId="11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71" fillId="0" borderId="0" xfId="0" applyFont="1" applyBorder="1" applyAlignment="1">
      <alignment/>
    </xf>
    <xf numFmtId="0" fontId="158" fillId="0" borderId="0" xfId="0" applyFont="1" applyBorder="1" applyAlignment="1">
      <alignment/>
    </xf>
    <xf numFmtId="0" fontId="199" fillId="0" borderId="0" xfId="0" applyFont="1" applyBorder="1" applyAlignment="1">
      <alignment/>
    </xf>
    <xf numFmtId="0" fontId="199" fillId="0" borderId="12" xfId="0" applyFont="1" applyBorder="1" applyAlignment="1">
      <alignment/>
    </xf>
    <xf numFmtId="0" fontId="71" fillId="0" borderId="12" xfId="0" applyFont="1" applyBorder="1" applyAlignment="1">
      <alignment/>
    </xf>
    <xf numFmtId="0" fontId="201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3" fillId="0" borderId="13" xfId="0" applyFont="1" applyFill="1" applyBorder="1" applyAlignment="1">
      <alignment horizontal="center"/>
    </xf>
    <xf numFmtId="0" fontId="64" fillId="0" borderId="13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116" fillId="0" borderId="17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0" fontId="103" fillId="0" borderId="10" xfId="0" applyFont="1" applyFill="1" applyBorder="1" applyAlignment="1">
      <alignment horizontal="center"/>
    </xf>
    <xf numFmtId="0" fontId="81" fillId="0" borderId="17" xfId="0" applyFont="1" applyFill="1" applyBorder="1" applyAlignment="1">
      <alignment horizontal="center"/>
    </xf>
    <xf numFmtId="1" fontId="95" fillId="0" borderId="17" xfId="0" applyNumberFormat="1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116" fillId="0" borderId="17" xfId="0" applyFont="1" applyFill="1" applyBorder="1" applyAlignment="1">
      <alignment horizontal="right"/>
    </xf>
    <xf numFmtId="0" fontId="63" fillId="0" borderId="10" xfId="0" applyFont="1" applyFill="1" applyBorder="1" applyAlignment="1">
      <alignment horizontal="center"/>
    </xf>
    <xf numFmtId="0" fontId="88" fillId="0" borderId="10" xfId="0" applyFont="1" applyFill="1" applyBorder="1" applyAlignment="1">
      <alignment horizontal="center" vertical="top" wrapText="1"/>
    </xf>
    <xf numFmtId="0" fontId="103" fillId="0" borderId="17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123" fillId="0" borderId="0" xfId="0" applyFont="1" applyFill="1" applyBorder="1" applyAlignment="1">
      <alignment/>
    </xf>
    <xf numFmtId="0" fontId="124" fillId="0" borderId="0" xfId="0" applyFont="1" applyFill="1" applyAlignment="1">
      <alignment horizontal="center"/>
    </xf>
    <xf numFmtId="0" fontId="125" fillId="0" borderId="0" xfId="0" applyFont="1" applyFill="1" applyBorder="1" applyAlignment="1">
      <alignment horizontal="center"/>
    </xf>
    <xf numFmtId="0" fontId="123" fillId="0" borderId="0" xfId="0" applyFont="1" applyFill="1" applyAlignment="1">
      <alignment/>
    </xf>
    <xf numFmtId="14" fontId="126" fillId="0" borderId="0" xfId="0" applyNumberFormat="1" applyFont="1" applyFill="1" applyBorder="1" applyAlignment="1">
      <alignment horizontal="left"/>
    </xf>
    <xf numFmtId="0" fontId="127" fillId="0" borderId="0" xfId="0" applyFont="1" applyFill="1" applyAlignment="1">
      <alignment horizontal="right"/>
    </xf>
    <xf numFmtId="14" fontId="127" fillId="0" borderId="0" xfId="0" applyNumberFormat="1" applyFont="1" applyFill="1" applyBorder="1" applyAlignment="1">
      <alignment/>
    </xf>
    <xf numFmtId="0" fontId="128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" fontId="95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6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Border="1" applyAlignment="1">
      <alignment/>
    </xf>
    <xf numFmtId="0" fontId="122" fillId="0" borderId="13" xfId="0" applyFont="1" applyFill="1" applyBorder="1" applyAlignment="1">
      <alignment horizontal="center"/>
    </xf>
    <xf numFmtId="0" fontId="125" fillId="0" borderId="13" xfId="0" applyFont="1" applyFill="1" applyBorder="1" applyAlignment="1">
      <alignment horizontal="left" vertical="top" wrapText="1"/>
    </xf>
    <xf numFmtId="0" fontId="125" fillId="0" borderId="0" xfId="0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/>
    </xf>
    <xf numFmtId="0" fontId="134" fillId="0" borderId="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1" fontId="74" fillId="0" borderId="10" xfId="0" applyNumberFormat="1" applyFont="1" applyFill="1" applyBorder="1" applyAlignment="1">
      <alignment horizontal="center"/>
    </xf>
    <xf numFmtId="0" fontId="123" fillId="0" borderId="13" xfId="0" applyFont="1" applyFill="1" applyBorder="1" applyAlignment="1">
      <alignment/>
    </xf>
    <xf numFmtId="1" fontId="134" fillId="0" borderId="0" xfId="0" applyNumberFormat="1" applyFont="1" applyFill="1" applyBorder="1" applyAlignment="1">
      <alignment horizontal="center"/>
    </xf>
    <xf numFmtId="0" fontId="122" fillId="0" borderId="14" xfId="0" applyFont="1" applyFill="1" applyBorder="1" applyAlignment="1">
      <alignment horizontal="center"/>
    </xf>
    <xf numFmtId="0" fontId="123" fillId="0" borderId="14" xfId="0" applyFont="1" applyFill="1" applyBorder="1" applyAlignment="1">
      <alignment/>
    </xf>
    <xf numFmtId="0" fontId="123" fillId="0" borderId="12" xfId="0" applyFont="1" applyFill="1" applyBorder="1" applyAlignment="1">
      <alignment/>
    </xf>
    <xf numFmtId="0" fontId="125" fillId="0" borderId="12" xfId="0" applyFont="1" applyFill="1" applyBorder="1" applyAlignment="1">
      <alignment/>
    </xf>
    <xf numFmtId="0" fontId="125" fillId="0" borderId="16" xfId="0" applyFont="1" applyFill="1" applyBorder="1" applyAlignment="1">
      <alignment horizontal="right"/>
    </xf>
    <xf numFmtId="0" fontId="43" fillId="0" borderId="11" xfId="0" applyFont="1" applyFill="1" applyBorder="1" applyAlignment="1">
      <alignment horizontal="center"/>
    </xf>
    <xf numFmtId="1" fontId="134" fillId="0" borderId="12" xfId="0" applyNumberFormat="1" applyFont="1" applyFill="1" applyBorder="1" applyAlignment="1">
      <alignment horizontal="center"/>
    </xf>
    <xf numFmtId="0" fontId="134" fillId="0" borderId="11" xfId="0" applyFont="1" applyFill="1" applyBorder="1" applyAlignment="1">
      <alignment horizontal="center"/>
    </xf>
    <xf numFmtId="1" fontId="125" fillId="0" borderId="11" xfId="0" applyNumberFormat="1" applyFont="1" applyFill="1" applyBorder="1" applyAlignment="1">
      <alignment horizontal="center"/>
    </xf>
    <xf numFmtId="0" fontId="123" fillId="0" borderId="16" xfId="0" applyFont="1" applyFill="1" applyBorder="1" applyAlignment="1">
      <alignment/>
    </xf>
    <xf numFmtId="1" fontId="88" fillId="0" borderId="25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03" fillId="0" borderId="0" xfId="0" applyFont="1" applyBorder="1" applyAlignment="1">
      <alignment horizontal="left"/>
    </xf>
    <xf numFmtId="1" fontId="107" fillId="0" borderId="0" xfId="0" applyNumberFormat="1" applyFont="1" applyBorder="1" applyAlignment="1">
      <alignment horizontal="center"/>
    </xf>
    <xf numFmtId="1" fontId="95" fillId="0" borderId="12" xfId="0" applyNumberFormat="1" applyFont="1" applyBorder="1" applyAlignment="1">
      <alignment horizontal="center"/>
    </xf>
    <xf numFmtId="1" fontId="95" fillId="0" borderId="11" xfId="0" applyNumberFormat="1" applyFont="1" applyBorder="1" applyAlignment="1">
      <alignment horizontal="center"/>
    </xf>
    <xf numFmtId="0" fontId="109" fillId="0" borderId="0" xfId="0" applyFont="1" applyBorder="1" applyAlignment="1">
      <alignment horizontal="left"/>
    </xf>
    <xf numFmtId="0" fontId="103" fillId="0" borderId="12" xfId="0" applyFont="1" applyBorder="1" applyAlignment="1">
      <alignment horizontal="left"/>
    </xf>
    <xf numFmtId="0" fontId="29" fillId="32" borderId="0" xfId="0" applyFont="1" applyFill="1" applyBorder="1" applyAlignment="1">
      <alignment/>
    </xf>
    <xf numFmtId="0" fontId="29" fillId="3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left"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14" fontId="1" fillId="33" borderId="0" xfId="0" applyNumberFormat="1" applyFont="1" applyFill="1" applyBorder="1" applyAlignment="1">
      <alignment/>
    </xf>
    <xf numFmtId="0" fontId="33" fillId="33" borderId="0" xfId="0" applyFont="1" applyFill="1" applyAlignment="1">
      <alignment horizontal="right"/>
    </xf>
    <xf numFmtId="0" fontId="33" fillId="33" borderId="0" xfId="0" applyFont="1" applyFill="1" applyAlignment="1">
      <alignment horizontal="left"/>
    </xf>
    <xf numFmtId="14" fontId="1" fillId="33" borderId="0" xfId="0" applyNumberFormat="1" applyFont="1" applyFill="1" applyBorder="1" applyAlignment="1">
      <alignment horizontal="center"/>
    </xf>
    <xf numFmtId="14" fontId="49" fillId="33" borderId="0" xfId="0" applyNumberFormat="1" applyFont="1" applyFill="1" applyBorder="1" applyAlignment="1">
      <alignment/>
    </xf>
    <xf numFmtId="14" fontId="29" fillId="33" borderId="0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4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90" fillId="33" borderId="14" xfId="0" applyFont="1" applyFill="1" applyBorder="1" applyAlignment="1">
      <alignment horizontal="left"/>
    </xf>
    <xf numFmtId="0" fontId="196" fillId="33" borderId="16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33" borderId="17" xfId="0" applyFont="1" applyFill="1" applyBorder="1" applyAlignment="1">
      <alignment horizontal="center"/>
    </xf>
    <xf numFmtId="0" fontId="64" fillId="33" borderId="18" xfId="0" applyFont="1" applyFill="1" applyBorder="1" applyAlignment="1">
      <alignment horizontal="center"/>
    </xf>
    <xf numFmtId="0" fontId="190" fillId="33" borderId="17" xfId="0" applyFont="1" applyFill="1" applyBorder="1" applyAlignment="1">
      <alignment horizontal="center"/>
    </xf>
    <xf numFmtId="0" fontId="196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23" fillId="33" borderId="17" xfId="0" applyFont="1" applyFill="1" applyBorder="1" applyAlignment="1">
      <alignment horizontal="center"/>
    </xf>
    <xf numFmtId="0" fontId="104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63" fillId="33" borderId="12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122" fillId="33" borderId="16" xfId="0" applyFont="1" applyFill="1" applyBorder="1" applyAlignment="1">
      <alignment horizontal="center"/>
    </xf>
    <xf numFmtId="0" fontId="98" fillId="33" borderId="11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69" fillId="33" borderId="13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1" fillId="33" borderId="17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77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1" fillId="33" borderId="13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187" fillId="33" borderId="0" xfId="0" applyFont="1" applyFill="1" applyBorder="1" applyAlignment="1">
      <alignment horizontal="center"/>
    </xf>
    <xf numFmtId="0" fontId="194" fillId="33" borderId="10" xfId="0" applyFont="1" applyFill="1" applyBorder="1" applyAlignment="1">
      <alignment horizontal="center"/>
    </xf>
    <xf numFmtId="0" fontId="158" fillId="33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" fontId="194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right"/>
    </xf>
    <xf numFmtId="0" fontId="21" fillId="33" borderId="20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73" fillId="33" borderId="20" xfId="0" applyFont="1" applyFill="1" applyBorder="1" applyAlignment="1">
      <alignment/>
    </xf>
    <xf numFmtId="0" fontId="33" fillId="33" borderId="15" xfId="0" applyFont="1" applyFill="1" applyBorder="1" applyAlignment="1">
      <alignment/>
    </xf>
    <xf numFmtId="0" fontId="73" fillId="33" borderId="19" xfId="0" applyFont="1" applyFill="1" applyBorder="1" applyAlignment="1">
      <alignment/>
    </xf>
    <xf numFmtId="0" fontId="73" fillId="33" borderId="15" xfId="0" applyFont="1" applyFill="1" applyBorder="1" applyAlignment="1">
      <alignment horizontal="center"/>
    </xf>
    <xf numFmtId="0" fontId="73" fillId="33" borderId="18" xfId="0" applyFont="1" applyFill="1" applyBorder="1" applyAlignment="1">
      <alignment horizontal="center"/>
    </xf>
    <xf numFmtId="0" fontId="73" fillId="33" borderId="15" xfId="0" applyFont="1" applyFill="1" applyBorder="1" applyAlignment="1">
      <alignment horizontal="center"/>
    </xf>
    <xf numFmtId="0" fontId="73" fillId="33" borderId="18" xfId="0" applyFont="1" applyFill="1" applyBorder="1" applyAlignment="1">
      <alignment horizontal="center"/>
    </xf>
    <xf numFmtId="0" fontId="191" fillId="33" borderId="15" xfId="0" applyFont="1" applyFill="1" applyBorder="1" applyAlignment="1">
      <alignment horizontal="center"/>
    </xf>
    <xf numFmtId="0" fontId="197" fillId="33" borderId="18" xfId="0" applyFont="1" applyFill="1" applyBorder="1" applyAlignment="1">
      <alignment horizontal="center"/>
    </xf>
    <xf numFmtId="0" fontId="73" fillId="33" borderId="14" xfId="0" applyFont="1" applyFill="1" applyBorder="1" applyAlignment="1">
      <alignment/>
    </xf>
    <xf numFmtId="0" fontId="33" fillId="33" borderId="12" xfId="0" applyFont="1" applyFill="1" applyBorder="1" applyAlignment="1">
      <alignment horizontal="center"/>
    </xf>
    <xf numFmtId="0" fontId="73" fillId="33" borderId="16" xfId="0" applyFont="1" applyFill="1" applyBorder="1" applyAlignment="1">
      <alignment/>
    </xf>
    <xf numFmtId="0" fontId="73" fillId="33" borderId="12" xfId="0" applyFont="1" applyFill="1" applyBorder="1" applyAlignment="1">
      <alignment horizontal="center"/>
    </xf>
    <xf numFmtId="0" fontId="73" fillId="33" borderId="11" xfId="0" applyFont="1" applyFill="1" applyBorder="1" applyAlignment="1">
      <alignment horizontal="center"/>
    </xf>
    <xf numFmtId="0" fontId="192" fillId="33" borderId="12" xfId="0" applyFont="1" applyFill="1" applyBorder="1" applyAlignment="1">
      <alignment horizontal="center"/>
    </xf>
    <xf numFmtId="0" fontId="31" fillId="33" borderId="11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left"/>
    </xf>
    <xf numFmtId="0" fontId="199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29" fillId="33" borderId="0" xfId="0" applyFont="1" applyFill="1" applyBorder="1" applyAlignment="1">
      <alignment/>
    </xf>
    <xf numFmtId="0" fontId="202" fillId="33" borderId="0" xfId="0" applyFont="1" applyFill="1" applyBorder="1" applyAlignment="1">
      <alignment/>
    </xf>
    <xf numFmtId="1" fontId="9" fillId="0" borderId="0" xfId="0" applyNumberFormat="1" applyFont="1" applyBorder="1" applyAlignment="1">
      <alignment/>
    </xf>
    <xf numFmtId="1" fontId="59" fillId="0" borderId="0" xfId="0" applyNumberFormat="1" applyFont="1" applyBorder="1" applyAlignment="1">
      <alignment/>
    </xf>
    <xf numFmtId="1" fontId="213" fillId="0" borderId="0" xfId="0" applyNumberFormat="1" applyFont="1" applyBorder="1" applyAlignment="1">
      <alignment/>
    </xf>
    <xf numFmtId="0" fontId="213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53" fillId="0" borderId="17" xfId="0" applyFont="1" applyBorder="1" applyAlignment="1">
      <alignment horizontal="right"/>
    </xf>
    <xf numFmtId="0" fontId="214" fillId="0" borderId="17" xfId="0" applyFont="1" applyBorder="1" applyAlignment="1">
      <alignment horizontal="center"/>
    </xf>
    <xf numFmtId="0" fontId="154" fillId="0" borderId="10" xfId="0" applyFont="1" applyBorder="1" applyAlignment="1">
      <alignment horizontal="center"/>
    </xf>
    <xf numFmtId="0" fontId="91" fillId="33" borderId="13" xfId="0" applyFont="1" applyFill="1" applyBorder="1" applyAlignment="1">
      <alignment horizontal="center"/>
    </xf>
    <xf numFmtId="0" fontId="91" fillId="33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4" fillId="33" borderId="0" xfId="0" applyFont="1" applyFill="1" applyBorder="1" applyAlignment="1">
      <alignment/>
    </xf>
    <xf numFmtId="14" fontId="63" fillId="33" borderId="0" xfId="0" applyNumberFormat="1" applyFont="1" applyFill="1" applyBorder="1" applyAlignment="1">
      <alignment/>
    </xf>
    <xf numFmtId="0" fontId="91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187" fillId="33" borderId="0" xfId="0" applyFont="1" applyFill="1" applyBorder="1" applyAlignment="1">
      <alignment horizontal="left"/>
    </xf>
    <xf numFmtId="0" fontId="194" fillId="33" borderId="0" xfId="0" applyFont="1" applyFill="1" applyBorder="1" applyAlignment="1">
      <alignment/>
    </xf>
    <xf numFmtId="0" fontId="218" fillId="33" borderId="0" xfId="0" applyFont="1" applyFill="1" applyBorder="1" applyAlignment="1">
      <alignment/>
    </xf>
    <xf numFmtId="0" fontId="187" fillId="33" borderId="0" xfId="0" applyFont="1" applyFill="1" applyBorder="1" applyAlignment="1">
      <alignment horizontal="center"/>
    </xf>
    <xf numFmtId="0" fontId="218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68" fillId="33" borderId="13" xfId="0" applyFont="1" applyFill="1" applyBorder="1" applyAlignment="1">
      <alignment/>
    </xf>
    <xf numFmtId="0" fontId="219" fillId="33" borderId="0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194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21" fillId="33" borderId="13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73" fillId="33" borderId="13" xfId="0" applyFont="1" applyFill="1" applyBorder="1" applyAlignment="1">
      <alignment/>
    </xf>
    <xf numFmtId="1" fontId="21" fillId="33" borderId="10" xfId="0" applyNumberFormat="1" applyFont="1" applyFill="1" applyBorder="1" applyAlignment="1">
      <alignment horizontal="center"/>
    </xf>
    <xf numFmtId="1" fontId="194" fillId="33" borderId="10" xfId="0" applyNumberFormat="1" applyFont="1" applyFill="1" applyBorder="1" applyAlignment="1">
      <alignment horizontal="center"/>
    </xf>
    <xf numFmtId="1" fontId="33" fillId="33" borderId="10" xfId="0" applyNumberFormat="1" applyFont="1" applyFill="1" applyBorder="1" applyAlignment="1">
      <alignment horizontal="center"/>
    </xf>
    <xf numFmtId="0" fontId="21" fillId="33" borderId="17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187" fillId="33" borderId="15" xfId="0" applyFont="1" applyFill="1" applyBorder="1" applyAlignment="1">
      <alignment horizontal="center"/>
    </xf>
    <xf numFmtId="1" fontId="194" fillId="33" borderId="18" xfId="0" applyNumberFormat="1" applyFont="1" applyFill="1" applyBorder="1" applyAlignment="1">
      <alignment horizontal="center"/>
    </xf>
    <xf numFmtId="0" fontId="191" fillId="33" borderId="15" xfId="0" applyFont="1" applyFill="1" applyBorder="1" applyAlignment="1">
      <alignment horizontal="center"/>
    </xf>
    <xf numFmtId="0" fontId="197" fillId="33" borderId="18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87" fillId="0" borderId="0" xfId="0" applyFont="1" applyAlignment="1">
      <alignment horizontal="center"/>
    </xf>
    <xf numFmtId="0" fontId="194" fillId="0" borderId="0" xfId="0" applyFont="1" applyBorder="1" applyAlignment="1">
      <alignment/>
    </xf>
    <xf numFmtId="0" fontId="194" fillId="0" borderId="0" xfId="0" applyFont="1" applyBorder="1" applyAlignment="1">
      <alignment/>
    </xf>
    <xf numFmtId="0" fontId="218" fillId="0" borderId="0" xfId="0" applyFont="1" applyBorder="1" applyAlignment="1">
      <alignment/>
    </xf>
    <xf numFmtId="0" fontId="194" fillId="0" borderId="0" xfId="0" applyFont="1" applyAlignment="1">
      <alignment horizontal="left"/>
    </xf>
    <xf numFmtId="0" fontId="0" fillId="0" borderId="0" xfId="0" applyFont="1" applyAlignment="1">
      <alignment/>
    </xf>
    <xf numFmtId="14" fontId="2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Border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14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 horizontal="center"/>
    </xf>
    <xf numFmtId="14" fontId="45" fillId="33" borderId="0" xfId="0" applyNumberFormat="1" applyFont="1" applyFill="1" applyBorder="1" applyAlignment="1">
      <alignment/>
    </xf>
    <xf numFmtId="14" fontId="15" fillId="33" borderId="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220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0" fontId="45" fillId="33" borderId="15" xfId="0" applyFont="1" applyFill="1" applyBorder="1" applyAlignment="1">
      <alignment horizontal="center"/>
    </xf>
    <xf numFmtId="1" fontId="15" fillId="33" borderId="18" xfId="0" applyNumberFormat="1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221" fillId="33" borderId="18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76" fillId="33" borderId="12" xfId="0" applyFont="1" applyFill="1" applyBorder="1" applyAlignment="1">
      <alignment horizontal="center"/>
    </xf>
    <xf numFmtId="0" fontId="22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87" fillId="33" borderId="12" xfId="0" applyFont="1" applyFill="1" applyBorder="1" applyAlignment="1">
      <alignment horizontal="center"/>
    </xf>
    <xf numFmtId="0" fontId="194" fillId="33" borderId="12" xfId="0" applyFont="1" applyFill="1" applyBorder="1" applyAlignment="1">
      <alignment horizontal="center"/>
    </xf>
    <xf numFmtId="0" fontId="218" fillId="33" borderId="12" xfId="0" applyFont="1" applyFill="1" applyBorder="1" applyAlignment="1">
      <alignment horizontal="right"/>
    </xf>
    <xf numFmtId="0" fontId="194" fillId="33" borderId="0" xfId="0" applyFont="1" applyFill="1" applyBorder="1" applyAlignment="1">
      <alignment horizontal="center"/>
    </xf>
    <xf numFmtId="14" fontId="21" fillId="33" borderId="0" xfId="0" applyNumberFormat="1" applyFont="1" applyFill="1" applyBorder="1" applyAlignment="1">
      <alignment/>
    </xf>
    <xf numFmtId="14" fontId="21" fillId="33" borderId="0" xfId="0" applyNumberFormat="1" applyFont="1" applyFill="1" applyBorder="1" applyAlignment="1">
      <alignment horizontal="center"/>
    </xf>
    <xf numFmtId="14" fontId="187" fillId="33" borderId="0" xfId="0" applyNumberFormat="1" applyFont="1" applyFill="1" applyBorder="1" applyAlignment="1">
      <alignment/>
    </xf>
    <xf numFmtId="14" fontId="194" fillId="33" borderId="0" xfId="0" applyNumberFormat="1" applyFont="1" applyFill="1" applyBorder="1" applyAlignment="1">
      <alignment/>
    </xf>
    <xf numFmtId="0" fontId="194" fillId="0" borderId="0" xfId="0" applyFont="1" applyAlignment="1">
      <alignment horizontal="center"/>
    </xf>
    <xf numFmtId="0" fontId="218" fillId="0" borderId="0" xfId="0" applyFont="1" applyAlignment="1">
      <alignment/>
    </xf>
    <xf numFmtId="0" fontId="91" fillId="33" borderId="0" xfId="0" applyFont="1" applyFill="1" applyBorder="1" applyAlignment="1">
      <alignment/>
    </xf>
    <xf numFmtId="14" fontId="91" fillId="33" borderId="0" xfId="0" applyNumberFormat="1" applyFont="1" applyFill="1" applyBorder="1" applyAlignment="1">
      <alignment/>
    </xf>
    <xf numFmtId="0" fontId="91" fillId="33" borderId="14" xfId="0" applyFont="1" applyFill="1" applyBorder="1" applyAlignment="1">
      <alignment horizontal="center"/>
    </xf>
    <xf numFmtId="0" fontId="91" fillId="33" borderId="16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10" xfId="0" applyFont="1" applyBorder="1" applyAlignment="1" quotePrefix="1">
      <alignment horizontal="center"/>
    </xf>
    <xf numFmtId="0" fontId="28" fillId="33" borderId="2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28" fillId="33" borderId="19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28" fillId="33" borderId="16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34" borderId="0" xfId="0" applyFill="1" applyAlignment="1">
      <alignment/>
    </xf>
    <xf numFmtId="0" fontId="181" fillId="0" borderId="0" xfId="0" applyFont="1" applyBorder="1" applyAlignment="1">
      <alignment/>
    </xf>
    <xf numFmtId="0" fontId="227" fillId="0" borderId="10" xfId="0" applyFont="1" applyBorder="1" applyAlignment="1">
      <alignment horizontal="center"/>
    </xf>
    <xf numFmtId="1" fontId="228" fillId="0" borderId="10" xfId="0" applyNumberFormat="1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8" xfId="0" applyFont="1" applyBorder="1" applyAlignment="1">
      <alignment/>
    </xf>
    <xf numFmtId="1" fontId="95" fillId="0" borderId="18" xfId="0" applyNumberFormat="1" applyFont="1" applyBorder="1" applyAlignment="1">
      <alignment horizontal="center"/>
    </xf>
    <xf numFmtId="0" fontId="103" fillId="0" borderId="11" xfId="0" applyFont="1" applyBorder="1" applyAlignment="1">
      <alignment horizontal="left"/>
    </xf>
    <xf numFmtId="3" fontId="207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66" fillId="0" borderId="0" xfId="0" applyFont="1" applyBorder="1" applyAlignment="1">
      <alignment horizontal="center"/>
    </xf>
    <xf numFmtId="0" fontId="66" fillId="0" borderId="26" xfId="0" applyFont="1" applyBorder="1" applyAlignment="1">
      <alignment horizontal="center"/>
    </xf>
    <xf numFmtId="0" fontId="128" fillId="0" borderId="27" xfId="0" applyFont="1" applyBorder="1" applyAlignment="1">
      <alignment horizontal="center"/>
    </xf>
    <xf numFmtId="16" fontId="43" fillId="0" borderId="27" xfId="0" applyNumberFormat="1" applyFont="1" applyBorder="1" applyAlignment="1">
      <alignment horizontal="center" vertical="top" wrapText="1"/>
    </xf>
    <xf numFmtId="0" fontId="43" fillId="0" borderId="27" xfId="0" applyFont="1" applyFill="1" applyBorder="1" applyAlignment="1">
      <alignment horizontal="center" vertical="top" wrapText="1"/>
    </xf>
    <xf numFmtId="0" fontId="43" fillId="0" borderId="27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right" vertical="top" wrapText="1"/>
    </xf>
    <xf numFmtId="0" fontId="208" fillId="0" borderId="27" xfId="0" applyFont="1" applyBorder="1" applyAlignment="1">
      <alignment horizontal="center" vertical="top" wrapText="1"/>
    </xf>
    <xf numFmtId="0" fontId="43" fillId="0" borderId="27" xfId="0" applyFont="1" applyBorder="1" applyAlignment="1">
      <alignment horizontal="center"/>
    </xf>
    <xf numFmtId="0" fontId="208" fillId="0" borderId="28" xfId="0" applyFont="1" applyBorder="1" applyAlignment="1">
      <alignment horizontal="center" vertical="top"/>
    </xf>
    <xf numFmtId="0" fontId="229" fillId="0" borderId="10" xfId="0" applyFont="1" applyFill="1" applyBorder="1" applyAlignment="1">
      <alignment/>
    </xf>
    <xf numFmtId="0" fontId="229" fillId="0" borderId="10" xfId="0" applyFont="1" applyBorder="1" applyAlignment="1">
      <alignment/>
    </xf>
    <xf numFmtId="16" fontId="208" fillId="0" borderId="27" xfId="0" applyNumberFormat="1" applyFont="1" applyBorder="1" applyAlignment="1">
      <alignment horizontal="center" vertical="top" wrapText="1"/>
    </xf>
    <xf numFmtId="17" fontId="43" fillId="0" borderId="27" xfId="0" applyNumberFormat="1" applyFont="1" applyBorder="1" applyAlignment="1">
      <alignment horizontal="right" vertical="top" wrapText="1"/>
    </xf>
    <xf numFmtId="17" fontId="43" fillId="0" borderId="27" xfId="0" applyNumberFormat="1" applyFont="1" applyBorder="1" applyAlignment="1">
      <alignment horizontal="center"/>
    </xf>
    <xf numFmtId="0" fontId="229" fillId="0" borderId="29" xfId="0" applyFont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30" fillId="33" borderId="20" xfId="0" applyFont="1" applyFill="1" applyBorder="1" applyAlignment="1">
      <alignment horizontal="left"/>
    </xf>
    <xf numFmtId="0" fontId="226" fillId="33" borderId="19" xfId="0" applyFont="1" applyFill="1" applyBorder="1" applyAlignment="1">
      <alignment horizontal="center"/>
    </xf>
    <xf numFmtId="0" fontId="72" fillId="33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30" fillId="33" borderId="14" xfId="0" applyFont="1" applyFill="1" applyBorder="1" applyAlignment="1">
      <alignment horizontal="left"/>
    </xf>
    <xf numFmtId="0" fontId="226" fillId="33" borderId="16" xfId="0" applyFont="1" applyFill="1" applyBorder="1" applyAlignment="1">
      <alignment horizontal="center"/>
    </xf>
    <xf numFmtId="0" fontId="7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30" fillId="33" borderId="17" xfId="0" applyFont="1" applyFill="1" applyBorder="1" applyAlignment="1">
      <alignment horizontal="center"/>
    </xf>
    <xf numFmtId="0" fontId="22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77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77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2" fillId="33" borderId="11" xfId="0" applyFont="1" applyFill="1" applyBorder="1" applyAlignment="1">
      <alignment horizontal="center"/>
    </xf>
    <xf numFmtId="0" fontId="210" fillId="0" borderId="1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6" fillId="0" borderId="17" xfId="0" applyFont="1" applyBorder="1" applyAlignment="1">
      <alignment/>
    </xf>
    <xf numFmtId="0" fontId="231" fillId="0" borderId="10" xfId="0" applyFont="1" applyBorder="1" applyAlignment="1">
      <alignment horizontal="center"/>
    </xf>
    <xf numFmtId="0" fontId="232" fillId="0" borderId="13" xfId="0" applyFont="1" applyBorder="1" applyAlignment="1">
      <alignment horizontal="left"/>
    </xf>
    <xf numFmtId="0" fontId="233" fillId="0" borderId="0" xfId="0" applyFont="1" applyBorder="1" applyAlignment="1">
      <alignment/>
    </xf>
    <xf numFmtId="0" fontId="211" fillId="0" borderId="0" xfId="0" applyFont="1" applyBorder="1" applyAlignment="1">
      <alignment horizontal="left"/>
    </xf>
    <xf numFmtId="0" fontId="234" fillId="0" borderId="10" xfId="0" applyFont="1" applyBorder="1" applyAlignment="1">
      <alignment horizontal="center"/>
    </xf>
    <xf numFmtId="0" fontId="235" fillId="0" borderId="0" xfId="0" applyFont="1" applyBorder="1" applyAlignment="1">
      <alignment/>
    </xf>
    <xf numFmtId="0" fontId="210" fillId="0" borderId="10" xfId="0" applyFont="1" applyFill="1" applyBorder="1" applyAlignment="1">
      <alignment horizontal="center"/>
    </xf>
    <xf numFmtId="0" fontId="16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14" fontId="45" fillId="33" borderId="12" xfId="0" applyNumberFormat="1" applyFont="1" applyFill="1" applyBorder="1" applyAlignment="1">
      <alignment horizontal="left"/>
    </xf>
    <xf numFmtId="0" fontId="45" fillId="33" borderId="0" xfId="0" applyFont="1" applyFill="1" applyBorder="1" applyAlignment="1">
      <alignment horizontal="right"/>
    </xf>
    <xf numFmtId="0" fontId="56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0" fillId="0" borderId="10" xfId="0" applyFont="1" applyBorder="1" applyAlignment="1">
      <alignment/>
    </xf>
    <xf numFmtId="1" fontId="59" fillId="0" borderId="10" xfId="0" applyNumberFormat="1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159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" fontId="81" fillId="0" borderId="0" xfId="0" applyNumberFormat="1" applyFont="1" applyAlignment="1">
      <alignment horizontal="right"/>
    </xf>
    <xf numFmtId="0" fontId="82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169" fillId="0" borderId="21" xfId="0" applyFont="1" applyBorder="1" applyAlignment="1">
      <alignment/>
    </xf>
    <xf numFmtId="0" fontId="177" fillId="0" borderId="21" xfId="0" applyFont="1" applyBorder="1" applyAlignment="1">
      <alignment horizontal="center"/>
    </xf>
    <xf numFmtId="0" fontId="239" fillId="0" borderId="21" xfId="0" applyFont="1" applyBorder="1" applyAlignment="1">
      <alignment horizontal="center" vertical="center" wrapText="1"/>
    </xf>
    <xf numFmtId="3" fontId="240" fillId="0" borderId="2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4" fillId="0" borderId="14" xfId="0" applyFont="1" applyBorder="1" applyAlignment="1">
      <alignment horizontal="center"/>
    </xf>
    <xf numFmtId="0" fontId="63" fillId="0" borderId="14" xfId="0" applyFont="1" applyFill="1" applyBorder="1" applyAlignment="1">
      <alignment horizontal="center"/>
    </xf>
    <xf numFmtId="0" fontId="64" fillId="0" borderId="14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0" fontId="116" fillId="0" borderId="16" xfId="0" applyFont="1" applyFill="1" applyBorder="1" applyAlignment="1">
      <alignment horizontal="right"/>
    </xf>
    <xf numFmtId="0" fontId="88" fillId="0" borderId="12" xfId="0" applyFont="1" applyFill="1" applyBorder="1" applyAlignment="1">
      <alignment horizontal="center"/>
    </xf>
    <xf numFmtId="0" fontId="103" fillId="0" borderId="11" xfId="0" applyFont="1" applyFill="1" applyBorder="1" applyAlignment="1">
      <alignment horizontal="center"/>
    </xf>
    <xf numFmtId="0" fontId="81" fillId="0" borderId="16" xfId="0" applyFont="1" applyFill="1" applyBorder="1" applyAlignment="1">
      <alignment horizontal="center"/>
    </xf>
    <xf numFmtId="1" fontId="95" fillId="0" borderId="1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72" fillId="33" borderId="0" xfId="0" applyFont="1" applyFill="1" applyBorder="1" applyAlignment="1">
      <alignment/>
    </xf>
    <xf numFmtId="0" fontId="72" fillId="33" borderId="0" xfId="0" applyFont="1" applyFill="1" applyBorder="1" applyAlignment="1">
      <alignment horizontal="center"/>
    </xf>
    <xf numFmtId="0" fontId="225" fillId="33" borderId="0" xfId="0" applyFont="1" applyFill="1" applyBorder="1" applyAlignment="1">
      <alignment horizontal="center"/>
    </xf>
    <xf numFmtId="0" fontId="226" fillId="33" borderId="0" xfId="0" applyFont="1" applyFill="1" applyBorder="1" applyAlignment="1">
      <alignment/>
    </xf>
    <xf numFmtId="0" fontId="21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47" fillId="33" borderId="0" xfId="0" applyFont="1" applyFill="1" applyBorder="1" applyAlignment="1">
      <alignment/>
    </xf>
    <xf numFmtId="0" fontId="9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248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07" fillId="0" borderId="17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72" fillId="0" borderId="10" xfId="0" applyFont="1" applyBorder="1" applyAlignment="1">
      <alignment horizontal="left" vertical="top"/>
    </xf>
    <xf numFmtId="0" fontId="250" fillId="0" borderId="1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57" fillId="0" borderId="13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249" fillId="0" borderId="0" xfId="0" applyFont="1" applyBorder="1" applyAlignment="1">
      <alignment horizontal="center" vertical="top"/>
    </xf>
    <xf numFmtId="14" fontId="249" fillId="0" borderId="0" xfId="0" applyNumberFormat="1" applyFont="1" applyBorder="1" applyAlignment="1">
      <alignment horizontal="center" vertical="top"/>
    </xf>
    <xf numFmtId="0" fontId="207" fillId="0" borderId="16" xfId="0" applyFont="1" applyBorder="1" applyAlignment="1">
      <alignment horizontal="left" vertical="top"/>
    </xf>
    <xf numFmtId="0" fontId="20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4" fillId="0" borderId="10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6" fillId="0" borderId="17" xfId="0" applyFont="1" applyBorder="1" applyAlignment="1">
      <alignment horizontal="left" vertical="center"/>
    </xf>
    <xf numFmtId="0" fontId="198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top"/>
    </xf>
    <xf numFmtId="1" fontId="34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50" fillId="0" borderId="13" xfId="0" applyFont="1" applyFill="1" applyBorder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34" fillId="0" borderId="10" xfId="0" applyNumberFormat="1" applyFont="1" applyFill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/>
    </xf>
    <xf numFmtId="0" fontId="250" fillId="0" borderId="14" xfId="0" applyFont="1" applyBorder="1" applyAlignment="1">
      <alignment horizontal="left" vertical="top"/>
    </xf>
    <xf numFmtId="0" fontId="54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0" fillId="0" borderId="11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left" vertical="top"/>
    </xf>
    <xf numFmtId="0" fontId="25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7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77" fillId="0" borderId="17" xfId="0" applyNumberFormat="1" applyFont="1" applyBorder="1" applyAlignment="1">
      <alignment horizontal="center"/>
    </xf>
    <xf numFmtId="3" fontId="187" fillId="0" borderId="17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77" fillId="0" borderId="17" xfId="0" applyNumberFormat="1" applyFont="1" applyBorder="1" applyAlignment="1">
      <alignment horizontal="center"/>
    </xf>
    <xf numFmtId="3" fontId="241" fillId="0" borderId="17" xfId="0" applyNumberFormat="1" applyFont="1" applyBorder="1" applyAlignment="1">
      <alignment horizontal="center"/>
    </xf>
    <xf numFmtId="3" fontId="188" fillId="0" borderId="17" xfId="0" applyNumberFormat="1" applyFont="1" applyBorder="1" applyAlignment="1">
      <alignment horizontal="center"/>
    </xf>
    <xf numFmtId="3" fontId="189" fillId="0" borderId="17" xfId="0" applyNumberFormat="1" applyFont="1" applyBorder="1" applyAlignment="1">
      <alignment horizontal="center"/>
    </xf>
    <xf numFmtId="3" fontId="42" fillId="0" borderId="17" xfId="0" applyNumberFormat="1" applyFont="1" applyBorder="1" applyAlignment="1">
      <alignment horizontal="center"/>
    </xf>
    <xf numFmtId="3" fontId="186" fillId="0" borderId="17" xfId="0" applyNumberFormat="1" applyFont="1" applyBorder="1" applyAlignment="1">
      <alignment horizontal="center"/>
    </xf>
    <xf numFmtId="3" fontId="244" fillId="0" borderId="17" xfId="0" applyNumberFormat="1" applyFont="1" applyBorder="1" applyAlignment="1">
      <alignment horizontal="center"/>
    </xf>
    <xf numFmtId="3" fontId="244" fillId="0" borderId="17" xfId="0" applyNumberFormat="1" applyFont="1" applyFill="1" applyBorder="1" applyAlignment="1">
      <alignment horizontal="center"/>
    </xf>
    <xf numFmtId="3" fontId="187" fillId="0" borderId="16" xfId="0" applyNumberFormat="1" applyFont="1" applyBorder="1" applyAlignment="1">
      <alignment horizontal="center"/>
    </xf>
    <xf numFmtId="0" fontId="252" fillId="0" borderId="10" xfId="0" applyFont="1" applyBorder="1" applyAlignment="1">
      <alignment horizontal="center"/>
    </xf>
    <xf numFmtId="0" fontId="120" fillId="0" borderId="0" xfId="0" applyFont="1" applyBorder="1" applyAlignment="1">
      <alignment horizontal="right"/>
    </xf>
    <xf numFmtId="0" fontId="110" fillId="0" borderId="10" xfId="0" applyFont="1" applyBorder="1" applyAlignment="1">
      <alignment/>
    </xf>
    <xf numFmtId="0" fontId="110" fillId="0" borderId="29" xfId="0" applyFont="1" applyBorder="1" applyAlignment="1">
      <alignment/>
    </xf>
    <xf numFmtId="0" fontId="253" fillId="0" borderId="10" xfId="0" applyFont="1" applyBorder="1" applyAlignment="1">
      <alignment horizontal="center"/>
    </xf>
    <xf numFmtId="0" fontId="254" fillId="0" borderId="13" xfId="0" applyFont="1" applyBorder="1" applyAlignment="1">
      <alignment/>
    </xf>
    <xf numFmtId="0" fontId="255" fillId="0" borderId="0" xfId="0" applyFont="1" applyBorder="1" applyAlignment="1">
      <alignment/>
    </xf>
    <xf numFmtId="0" fontId="256" fillId="0" borderId="0" xfId="0" applyFont="1" applyBorder="1" applyAlignment="1">
      <alignment/>
    </xf>
    <xf numFmtId="0" fontId="257" fillId="0" borderId="10" xfId="0" applyFont="1" applyBorder="1" applyAlignment="1">
      <alignment horizontal="center"/>
    </xf>
    <xf numFmtId="0" fontId="259" fillId="0" borderId="0" xfId="0" applyFont="1" applyBorder="1" applyAlignment="1">
      <alignment/>
    </xf>
    <xf numFmtId="0" fontId="256" fillId="0" borderId="0" xfId="0" applyFont="1" applyAlignment="1">
      <alignment/>
    </xf>
    <xf numFmtId="3" fontId="260" fillId="0" borderId="17" xfId="0" applyNumberFormat="1" applyFont="1" applyBorder="1" applyAlignment="1">
      <alignment horizontal="center"/>
    </xf>
    <xf numFmtId="3" fontId="207" fillId="0" borderId="17" xfId="0" applyNumberFormat="1" applyFont="1" applyBorder="1" applyAlignment="1">
      <alignment horizontal="center" vertical="center"/>
    </xf>
    <xf numFmtId="3" fontId="261" fillId="0" borderId="17" xfId="0" applyNumberFormat="1" applyFont="1" applyBorder="1" applyAlignment="1">
      <alignment horizont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262" fillId="0" borderId="0" xfId="0" applyFont="1" applyAlignment="1">
      <alignment horizontal="center"/>
    </xf>
    <xf numFmtId="0" fontId="263" fillId="0" borderId="0" xfId="0" applyFont="1" applyAlignment="1">
      <alignment horizontal="left"/>
    </xf>
    <xf numFmtId="0" fontId="264" fillId="0" borderId="0" xfId="0" applyFont="1" applyBorder="1" applyAlignment="1">
      <alignment/>
    </xf>
    <xf numFmtId="0" fontId="264" fillId="0" borderId="0" xfId="0" applyFont="1" applyAlignment="1">
      <alignment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265" fillId="0" borderId="0" xfId="0" applyFont="1" applyBorder="1" applyAlignment="1">
      <alignment horizontal="center"/>
    </xf>
    <xf numFmtId="0" fontId="263" fillId="0" borderId="0" xfId="0" applyFont="1" applyBorder="1" applyAlignment="1">
      <alignment horizontal="left"/>
    </xf>
    <xf numFmtId="1" fontId="51" fillId="0" borderId="0" xfId="0" applyNumberFormat="1" applyFont="1" applyBorder="1" applyAlignment="1">
      <alignment horizontal="center"/>
    </xf>
    <xf numFmtId="0" fontId="264" fillId="0" borderId="0" xfId="0" applyFont="1" applyBorder="1" applyAlignment="1">
      <alignment/>
    </xf>
    <xf numFmtId="0" fontId="264" fillId="0" borderId="0" xfId="0" applyFont="1" applyAlignment="1">
      <alignment/>
    </xf>
    <xf numFmtId="0" fontId="266" fillId="0" borderId="0" xfId="0" applyFont="1" applyBorder="1" applyAlignment="1">
      <alignment horizontal="center"/>
    </xf>
    <xf numFmtId="0" fontId="267" fillId="0" borderId="0" xfId="0" applyFont="1" applyBorder="1" applyAlignment="1">
      <alignment horizontal="left"/>
    </xf>
    <xf numFmtId="0" fontId="268" fillId="0" borderId="0" xfId="0" applyFont="1" applyBorder="1" applyAlignment="1">
      <alignment/>
    </xf>
    <xf numFmtId="0" fontId="266" fillId="0" borderId="0" xfId="0" applyFont="1" applyBorder="1" applyAlignment="1">
      <alignment/>
    </xf>
    <xf numFmtId="0" fontId="268" fillId="0" borderId="0" xfId="0" applyFont="1" applyBorder="1" applyAlignment="1">
      <alignment horizontal="center"/>
    </xf>
    <xf numFmtId="1" fontId="269" fillId="0" borderId="0" xfId="0" applyNumberFormat="1" applyFont="1" applyBorder="1" applyAlignment="1">
      <alignment horizontal="center"/>
    </xf>
    <xf numFmtId="0" fontId="270" fillId="0" borderId="0" xfId="0" applyFont="1" applyBorder="1" applyAlignment="1">
      <alignment/>
    </xf>
    <xf numFmtId="0" fontId="270" fillId="0" borderId="0" xfId="0" applyFont="1" applyAlignment="1">
      <alignment/>
    </xf>
    <xf numFmtId="3" fontId="261" fillId="0" borderId="16" xfId="0" applyNumberFormat="1" applyFont="1" applyBorder="1" applyAlignment="1">
      <alignment horizontal="center"/>
    </xf>
    <xf numFmtId="3" fontId="244" fillId="0" borderId="16" xfId="0" applyNumberFormat="1" applyFont="1" applyBorder="1" applyAlignment="1">
      <alignment horizontal="center"/>
    </xf>
    <xf numFmtId="3" fontId="271" fillId="0" borderId="17" xfId="0" applyNumberFormat="1" applyFont="1" applyBorder="1" applyAlignment="1">
      <alignment horizontal="center"/>
    </xf>
    <xf numFmtId="3" fontId="244" fillId="0" borderId="17" xfId="0" applyNumberFormat="1" applyFont="1" applyBorder="1" applyAlignment="1">
      <alignment horizontal="center" vertical="center" wrapText="1"/>
    </xf>
    <xf numFmtId="3" fontId="244" fillId="33" borderId="17" xfId="0" applyNumberFormat="1" applyFont="1" applyFill="1" applyBorder="1" applyAlignment="1">
      <alignment horizontal="center"/>
    </xf>
    <xf numFmtId="0" fontId="82" fillId="0" borderId="19" xfId="0" applyFont="1" applyBorder="1" applyAlignment="1">
      <alignment horizontal="center"/>
    </xf>
    <xf numFmtId="3" fontId="207" fillId="0" borderId="17" xfId="0" applyNumberFormat="1" applyFont="1" applyFill="1" applyBorder="1" applyAlignment="1">
      <alignment horizontal="center" vertical="center"/>
    </xf>
    <xf numFmtId="0" fontId="275" fillId="0" borderId="17" xfId="0" applyFont="1" applyBorder="1" applyAlignment="1">
      <alignment wrapText="1"/>
    </xf>
    <xf numFmtId="0" fontId="276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/>
    </xf>
    <xf numFmtId="0" fontId="186" fillId="0" borderId="17" xfId="0" applyFont="1" applyBorder="1" applyAlignment="1">
      <alignment horizontal="center" vertical="top"/>
    </xf>
    <xf numFmtId="0" fontId="198" fillId="0" borderId="10" xfId="0" applyFont="1" applyBorder="1" applyAlignment="1">
      <alignment horizontal="center" vertical="top"/>
    </xf>
    <xf numFmtId="1" fontId="45" fillId="33" borderId="12" xfId="0" applyNumberFormat="1" applyFont="1" applyFill="1" applyBorder="1" applyAlignment="1">
      <alignment horizontal="center"/>
    </xf>
    <xf numFmtId="0" fontId="81" fillId="0" borderId="0" xfId="0" applyFont="1" applyFill="1" applyAlignment="1">
      <alignment horizontal="left"/>
    </xf>
    <xf numFmtId="0" fontId="279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8" xfId="0" applyFont="1" applyBorder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/>
    </xf>
    <xf numFmtId="0" fontId="280" fillId="0" borderId="0" xfId="0" applyFont="1" applyAlignment="1">
      <alignment/>
    </xf>
    <xf numFmtId="0" fontId="28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234" fillId="0" borderId="0" xfId="0" applyFont="1" applyAlignment="1">
      <alignment horizontal="center"/>
    </xf>
    <xf numFmtId="0" fontId="190" fillId="0" borderId="0" xfId="0" applyFont="1" applyBorder="1" applyAlignment="1">
      <alignment/>
    </xf>
    <xf numFmtId="0" fontId="190" fillId="0" borderId="0" xfId="0" applyFont="1" applyAlignment="1">
      <alignment/>
    </xf>
    <xf numFmtId="0" fontId="190" fillId="0" borderId="0" xfId="0" applyFont="1" applyAlignment="1">
      <alignment horizontal="center"/>
    </xf>
    <xf numFmtId="0" fontId="190" fillId="0" borderId="12" xfId="0" applyFont="1" applyBorder="1" applyAlignment="1">
      <alignment/>
    </xf>
    <xf numFmtId="0" fontId="123" fillId="0" borderId="17" xfId="0" applyFont="1" applyBorder="1" applyAlignment="1">
      <alignment horizontal="center"/>
    </xf>
    <xf numFmtId="0" fontId="123" fillId="0" borderId="10" xfId="0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wrapText="1"/>
    </xf>
    <xf numFmtId="0" fontId="190" fillId="0" borderId="0" xfId="0" applyFont="1" applyBorder="1" applyAlignment="1">
      <alignment horizontal="center"/>
    </xf>
    <xf numFmtId="0" fontId="190" fillId="0" borderId="17" xfId="0" applyFont="1" applyBorder="1" applyAlignment="1">
      <alignment horizontal="center"/>
    </xf>
    <xf numFmtId="0" fontId="281" fillId="0" borderId="10" xfId="0" applyFont="1" applyBorder="1" applyAlignment="1">
      <alignment horizontal="center" vertical="center"/>
    </xf>
    <xf numFmtId="0" fontId="281" fillId="0" borderId="10" xfId="0" applyFont="1" applyBorder="1" applyAlignment="1">
      <alignment horizontal="center"/>
    </xf>
    <xf numFmtId="0" fontId="122" fillId="0" borderId="17" xfId="0" applyFont="1" applyBorder="1" applyAlignment="1">
      <alignment horizontal="center" vertical="center" wrapText="1"/>
    </xf>
    <xf numFmtId="0" fontId="122" fillId="0" borderId="17" xfId="0" applyFont="1" applyBorder="1" applyAlignment="1">
      <alignment vertical="top" wrapText="1"/>
    </xf>
    <xf numFmtId="0" fontId="119" fillId="0" borderId="0" xfId="0" applyFont="1" applyBorder="1" applyAlignment="1">
      <alignment wrapText="1"/>
    </xf>
    <xf numFmtId="0" fontId="81" fillId="0" borderId="0" xfId="0" applyFont="1" applyBorder="1" applyAlignment="1">
      <alignment wrapText="1"/>
    </xf>
    <xf numFmtId="0" fontId="282" fillId="0" borderId="0" xfId="0" applyFont="1" applyBorder="1" applyAlignment="1">
      <alignment wrapText="1"/>
    </xf>
    <xf numFmtId="0" fontId="282" fillId="0" borderId="0" xfId="0" applyFont="1" applyBorder="1" applyAlignment="1">
      <alignment horizontal="center" wrapText="1"/>
    </xf>
    <xf numFmtId="0" fontId="282" fillId="0" borderId="17" xfId="0" applyFont="1" applyBorder="1" applyAlignment="1">
      <alignment horizontal="center" wrapText="1"/>
    </xf>
    <xf numFmtId="0" fontId="119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 wrapText="1"/>
    </xf>
    <xf numFmtId="0" fontId="46" fillId="0" borderId="12" xfId="0" applyFont="1" applyBorder="1" applyAlignment="1">
      <alignment horizontal="right"/>
    </xf>
    <xf numFmtId="0" fontId="46" fillId="0" borderId="12" xfId="0" applyFont="1" applyBorder="1" applyAlignment="1">
      <alignment/>
    </xf>
    <xf numFmtId="0" fontId="46" fillId="0" borderId="16" xfId="0" applyFont="1" applyBorder="1" applyAlignment="1">
      <alignment/>
    </xf>
    <xf numFmtId="0" fontId="122" fillId="0" borderId="16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78" fillId="0" borderId="21" xfId="0" applyFont="1" applyBorder="1" applyAlignment="1">
      <alignment/>
    </xf>
    <xf numFmtId="0" fontId="78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8" fillId="0" borderId="20" xfId="0" applyFont="1" applyBorder="1" applyAlignment="1">
      <alignment horizontal="center"/>
    </xf>
    <xf numFmtId="0" fontId="88" fillId="0" borderId="20" xfId="0" applyFont="1" applyBorder="1" applyAlignment="1">
      <alignment/>
    </xf>
    <xf numFmtId="0" fontId="88" fillId="0" borderId="15" xfId="0" applyFont="1" applyBorder="1" applyAlignment="1">
      <alignment/>
    </xf>
    <xf numFmtId="0" fontId="85" fillId="0" borderId="15" xfId="0" applyFont="1" applyBorder="1" applyAlignment="1">
      <alignment horizontal="center"/>
    </xf>
    <xf numFmtId="0" fontId="88" fillId="0" borderId="18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/>
    </xf>
    <xf numFmtId="0" fontId="89" fillId="0" borderId="19" xfId="0" applyFont="1" applyBorder="1" applyAlignment="1">
      <alignment horizontal="center"/>
    </xf>
    <xf numFmtId="0" fontId="111" fillId="0" borderId="19" xfId="0" applyFont="1" applyBorder="1" applyAlignment="1">
      <alignment horizontal="center"/>
    </xf>
    <xf numFmtId="0" fontId="88" fillId="0" borderId="13" xfId="0" applyFont="1" applyBorder="1" applyAlignment="1">
      <alignment/>
    </xf>
    <xf numFmtId="0" fontId="88" fillId="0" borderId="10" xfId="0" applyFont="1" applyBorder="1" applyAlignment="1">
      <alignment horizontal="center" vertical="center"/>
    </xf>
    <xf numFmtId="0" fontId="88" fillId="0" borderId="12" xfId="0" applyFont="1" applyBorder="1" applyAlignment="1">
      <alignment/>
    </xf>
    <xf numFmtId="0" fontId="88" fillId="0" borderId="16" xfId="0" applyFont="1" applyBorder="1" applyAlignment="1">
      <alignment/>
    </xf>
    <xf numFmtId="0" fontId="89" fillId="0" borderId="17" xfId="0" applyFont="1" applyBorder="1" applyAlignment="1">
      <alignment horizontal="center"/>
    </xf>
    <xf numFmtId="0" fontId="111" fillId="0" borderId="17" xfId="0" applyFont="1" applyBorder="1" applyAlignment="1">
      <alignment horizontal="center"/>
    </xf>
    <xf numFmtId="0" fontId="111" fillId="0" borderId="16" xfId="0" applyFont="1" applyBorder="1" applyAlignment="1">
      <alignment horizontal="center"/>
    </xf>
    <xf numFmtId="0" fontId="284" fillId="0" borderId="17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88" fillId="0" borderId="14" xfId="0" applyFont="1" applyBorder="1" applyAlignment="1">
      <alignment/>
    </xf>
    <xf numFmtId="0" fontId="88" fillId="0" borderId="12" xfId="0" applyFont="1" applyBorder="1" applyAlignment="1">
      <alignment/>
    </xf>
    <xf numFmtId="0" fontId="88" fillId="0" borderId="11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/>
    </xf>
    <xf numFmtId="0" fontId="284" fillId="0" borderId="16" xfId="0" applyFont="1" applyBorder="1" applyAlignment="1">
      <alignment horizontal="center"/>
    </xf>
    <xf numFmtId="0" fontId="88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/>
    </xf>
    <xf numFmtId="0" fontId="64" fillId="0" borderId="17" xfId="0" applyFont="1" applyBorder="1" applyAlignment="1">
      <alignment horizontal="center" vertical="center"/>
    </xf>
    <xf numFmtId="1" fontId="95" fillId="0" borderId="17" xfId="0" applyNumberFormat="1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left" vertical="center"/>
    </xf>
    <xf numFmtId="0" fontId="285" fillId="0" borderId="10" xfId="0" applyFont="1" applyFill="1" applyBorder="1" applyAlignment="1">
      <alignment horizontal="center"/>
    </xf>
    <xf numFmtId="0" fontId="95" fillId="0" borderId="10" xfId="0" applyFont="1" applyBorder="1" applyAlignment="1">
      <alignment vertical="top" wrapText="1"/>
    </xf>
    <xf numFmtId="0" fontId="286" fillId="0" borderId="11" xfId="0" applyFont="1" applyBorder="1" applyAlignment="1">
      <alignment horizontal="left" vertical="top" wrapText="1"/>
    </xf>
    <xf numFmtId="0" fontId="287" fillId="0" borderId="11" xfId="0" applyFont="1" applyBorder="1" applyAlignment="1">
      <alignment horizontal="center"/>
    </xf>
    <xf numFmtId="0" fontId="95" fillId="0" borderId="18" xfId="0" applyFont="1" applyBorder="1" applyAlignment="1">
      <alignment horizontal="left" vertical="top" wrapText="1"/>
    </xf>
    <xf numFmtId="14" fontId="88" fillId="0" borderId="10" xfId="0" applyNumberFormat="1" applyFont="1" applyBorder="1" applyAlignment="1">
      <alignment horizontal="center"/>
    </xf>
    <xf numFmtId="14" fontId="190" fillId="0" borderId="0" xfId="0" applyNumberFormat="1" applyFont="1" applyAlignment="1">
      <alignment/>
    </xf>
    <xf numFmtId="1" fontId="75" fillId="0" borderId="0" xfId="0" applyNumberFormat="1" applyFont="1" applyAlignment="1">
      <alignment horizontal="center"/>
    </xf>
    <xf numFmtId="188" fontId="170" fillId="0" borderId="10" xfId="60" applyNumberFormat="1" applyFont="1" applyBorder="1" applyAlignment="1">
      <alignment horizontal="center"/>
    </xf>
    <xf numFmtId="188" fontId="183" fillId="0" borderId="10" xfId="60" applyNumberFormat="1" applyFont="1" applyBorder="1" applyAlignment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21" fillId="33" borderId="10" xfId="0" applyNumberFormat="1" applyFont="1" applyFill="1" applyBorder="1" applyAlignment="1">
      <alignment horizontal="center"/>
    </xf>
    <xf numFmtId="2" fontId="104" fillId="0" borderId="10" xfId="0" applyNumberFormat="1" applyFont="1" applyBorder="1" applyAlignment="1">
      <alignment horizontal="center"/>
    </xf>
    <xf numFmtId="2" fontId="104" fillId="0" borderId="17" xfId="0" applyNumberFormat="1" applyFont="1" applyBorder="1" applyAlignment="1">
      <alignment horizontal="center"/>
    </xf>
    <xf numFmtId="2" fontId="104" fillId="0" borderId="17" xfId="0" applyNumberFormat="1" applyFont="1" applyBorder="1" applyAlignment="1">
      <alignment/>
    </xf>
    <xf numFmtId="2" fontId="82" fillId="0" borderId="17" xfId="0" applyNumberFormat="1" applyFont="1" applyFill="1" applyBorder="1" applyAlignment="1">
      <alignment horizontal="center"/>
    </xf>
    <xf numFmtId="2" fontId="82" fillId="0" borderId="16" xfId="0" applyNumberFormat="1" applyFont="1" applyBorder="1" applyAlignment="1">
      <alignment horizontal="center"/>
    </xf>
    <xf numFmtId="2" fontId="82" fillId="0" borderId="17" xfId="0" applyNumberFormat="1" applyFont="1" applyBorder="1" applyAlignment="1">
      <alignment horizontal="center"/>
    </xf>
    <xf numFmtId="2" fontId="117" fillId="0" borderId="17" xfId="0" applyNumberFormat="1" applyFont="1" applyBorder="1" applyAlignment="1">
      <alignment horizontal="center"/>
    </xf>
    <xf numFmtId="2" fontId="104" fillId="0" borderId="16" xfId="0" applyNumberFormat="1" applyFont="1" applyBorder="1" applyAlignment="1">
      <alignment horizontal="center"/>
    </xf>
    <xf numFmtId="2" fontId="117" fillId="0" borderId="16" xfId="0" applyNumberFormat="1" applyFont="1" applyBorder="1" applyAlignment="1">
      <alignment horizontal="center"/>
    </xf>
    <xf numFmtId="2" fontId="104" fillId="0" borderId="17" xfId="0" applyNumberFormat="1" applyFont="1" applyFill="1" applyBorder="1" applyAlignment="1">
      <alignment horizontal="center"/>
    </xf>
    <xf numFmtId="2" fontId="104" fillId="0" borderId="10" xfId="0" applyNumberFormat="1" applyFont="1" applyBorder="1" applyAlignment="1">
      <alignment/>
    </xf>
    <xf numFmtId="2" fontId="117" fillId="0" borderId="11" xfId="0" applyNumberFormat="1" applyFont="1" applyBorder="1" applyAlignment="1">
      <alignment horizontal="center"/>
    </xf>
    <xf numFmtId="2" fontId="104" fillId="0" borderId="16" xfId="0" applyNumberFormat="1" applyFont="1" applyBorder="1" applyAlignment="1">
      <alignment/>
    </xf>
    <xf numFmtId="2" fontId="104" fillId="0" borderId="0" xfId="0" applyNumberFormat="1" applyFont="1" applyBorder="1" applyAlignment="1">
      <alignment horizontal="center"/>
    </xf>
    <xf numFmtId="2" fontId="93" fillId="0" borderId="0" xfId="0" applyNumberFormat="1" applyFont="1" applyBorder="1" applyAlignment="1">
      <alignment horizontal="center"/>
    </xf>
    <xf numFmtId="2" fontId="93" fillId="0" borderId="0" xfId="0" applyNumberFormat="1" applyFont="1" applyBorder="1" applyAlignment="1">
      <alignment/>
    </xf>
    <xf numFmtId="2" fontId="104" fillId="0" borderId="0" xfId="0" applyNumberFormat="1" applyFont="1" applyBorder="1" applyAlignment="1">
      <alignment/>
    </xf>
    <xf numFmtId="2" fontId="93" fillId="0" borderId="12" xfId="0" applyNumberFormat="1" applyFont="1" applyBorder="1" applyAlignment="1">
      <alignment horizontal="center"/>
    </xf>
    <xf numFmtId="2" fontId="117" fillId="0" borderId="0" xfId="0" applyNumberFormat="1" applyFont="1" applyFill="1" applyBorder="1" applyAlignment="1">
      <alignment horizontal="center"/>
    </xf>
    <xf numFmtId="2" fontId="117" fillId="0" borderId="12" xfId="0" applyNumberFormat="1" applyFont="1" applyFill="1" applyBorder="1" applyAlignment="1">
      <alignment horizontal="center"/>
    </xf>
    <xf numFmtId="2" fontId="135" fillId="0" borderId="17" xfId="0" applyNumberFormat="1" applyFont="1" applyBorder="1" applyAlignment="1">
      <alignment/>
    </xf>
    <xf numFmtId="2" fontId="82" fillId="0" borderId="16" xfId="0" applyNumberFormat="1" applyFont="1" applyFill="1" applyBorder="1" applyAlignment="1">
      <alignment horizontal="center"/>
    </xf>
    <xf numFmtId="2" fontId="104" fillId="0" borderId="17" xfId="0" applyNumberFormat="1" applyFont="1" applyBorder="1" applyAlignment="1">
      <alignment horizontal="center" vertical="center"/>
    </xf>
    <xf numFmtId="2" fontId="170" fillId="0" borderId="10" xfId="0" applyNumberFormat="1" applyFont="1" applyBorder="1" applyAlignment="1">
      <alignment horizontal="center"/>
    </xf>
    <xf numFmtId="2" fontId="170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64" fillId="0" borderId="10" xfId="0" applyNumberFormat="1" applyFont="1" applyBorder="1" applyAlignment="1">
      <alignment/>
    </xf>
    <xf numFmtId="0" fontId="119" fillId="0" borderId="0" xfId="0" applyFont="1" applyBorder="1" applyAlignment="1">
      <alignment horizontal="left" vertical="top" wrapText="1"/>
    </xf>
    <xf numFmtId="0" fontId="119" fillId="0" borderId="13" xfId="0" applyFont="1" applyBorder="1" applyAlignment="1">
      <alignment horizontal="left" vertical="top" wrapText="1"/>
    </xf>
    <xf numFmtId="1" fontId="88" fillId="0" borderId="30" xfId="0" applyNumberFormat="1" applyFont="1" applyBorder="1" applyAlignment="1">
      <alignment horizontal="center"/>
    </xf>
    <xf numFmtId="1" fontId="104" fillId="0" borderId="10" xfId="0" applyNumberFormat="1" applyFont="1" applyBorder="1" applyAlignment="1">
      <alignment/>
    </xf>
    <xf numFmtId="1" fontId="206" fillId="0" borderId="17" xfId="0" applyNumberFormat="1" applyFont="1" applyBorder="1" applyAlignment="1">
      <alignment horizontal="center" vertical="center"/>
    </xf>
    <xf numFmtId="1" fontId="206" fillId="33" borderId="17" xfId="0" applyNumberFormat="1" applyFont="1" applyFill="1" applyBorder="1" applyAlignment="1">
      <alignment horizontal="center" vertical="center"/>
    </xf>
    <xf numFmtId="1" fontId="206" fillId="0" borderId="17" xfId="0" applyNumberFormat="1" applyFont="1" applyFill="1" applyBorder="1" applyAlignment="1">
      <alignment horizontal="center" vertical="center"/>
    </xf>
    <xf numFmtId="1" fontId="60" fillId="0" borderId="17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left" vertical="top"/>
    </xf>
    <xf numFmtId="3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26" fillId="0" borderId="17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26" fillId="0" borderId="17" xfId="0" applyNumberFormat="1" applyFont="1" applyFill="1" applyBorder="1" applyAlignment="1">
      <alignment horizontal="center"/>
    </xf>
    <xf numFmtId="3" fontId="15" fillId="0" borderId="17" xfId="0" applyNumberFormat="1" applyFont="1" applyBorder="1" applyAlignment="1">
      <alignment/>
    </xf>
    <xf numFmtId="3" fontId="31" fillId="0" borderId="10" xfId="0" applyNumberFormat="1" applyFont="1" applyBorder="1" applyAlignment="1">
      <alignment horizontal="right"/>
    </xf>
    <xf numFmtId="3" fontId="32" fillId="0" borderId="10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258" fillId="0" borderId="10" xfId="0" applyNumberFormat="1" applyFont="1" applyBorder="1" applyAlignment="1">
      <alignment horizontal="center"/>
    </xf>
    <xf numFmtId="3" fontId="259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27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3" fontId="194" fillId="0" borderId="10" xfId="0" applyNumberFormat="1" applyFont="1" applyBorder="1" applyAlignment="1">
      <alignment horizontal="center"/>
    </xf>
    <xf numFmtId="3" fontId="55" fillId="0" borderId="10" xfId="0" applyNumberFormat="1" applyFont="1" applyBorder="1" applyAlignment="1">
      <alignment horizontal="center"/>
    </xf>
    <xf numFmtId="3" fontId="195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242" fillId="0" borderId="17" xfId="0" applyNumberFormat="1" applyFont="1" applyBorder="1" applyAlignment="1">
      <alignment horizontal="center"/>
    </xf>
    <xf numFmtId="3" fontId="242" fillId="0" borderId="16" xfId="0" applyNumberFormat="1" applyFont="1" applyBorder="1" applyAlignment="1">
      <alignment horizontal="center"/>
    </xf>
    <xf numFmtId="3" fontId="55" fillId="0" borderId="11" xfId="0" applyNumberFormat="1" applyFont="1" applyBorder="1" applyAlignment="1">
      <alignment horizontal="center"/>
    </xf>
    <xf numFmtId="3" fontId="243" fillId="0" borderId="10" xfId="0" applyNumberFormat="1" applyFont="1" applyBorder="1" applyAlignment="1">
      <alignment horizontal="center"/>
    </xf>
    <xf numFmtId="3" fontId="251" fillId="0" borderId="10" xfId="0" applyNumberFormat="1" applyFont="1" applyBorder="1" applyAlignment="1">
      <alignment horizontal="center"/>
    </xf>
    <xf numFmtId="3" fontId="244" fillId="0" borderId="10" xfId="0" applyNumberFormat="1" applyFont="1" applyFill="1" applyBorder="1" applyAlignment="1">
      <alignment horizontal="center"/>
    </xf>
    <xf numFmtId="3" fontId="55" fillId="0" borderId="10" xfId="0" applyNumberFormat="1" applyFont="1" applyFill="1" applyBorder="1" applyAlignment="1">
      <alignment horizontal="center"/>
    </xf>
    <xf numFmtId="3" fontId="244" fillId="0" borderId="10" xfId="0" applyNumberFormat="1" applyFont="1" applyBorder="1" applyAlignment="1">
      <alignment horizontal="center"/>
    </xf>
    <xf numFmtId="3" fontId="245" fillId="0" borderId="17" xfId="0" applyNumberFormat="1" applyFont="1" applyFill="1" applyBorder="1" applyAlignment="1">
      <alignment horizontal="center"/>
    </xf>
    <xf numFmtId="3" fontId="246" fillId="0" borderId="10" xfId="0" applyNumberFormat="1" applyFont="1" applyBorder="1" applyAlignment="1">
      <alignment horizontal="center"/>
    </xf>
    <xf numFmtId="3" fontId="204" fillId="0" borderId="10" xfId="0" applyNumberFormat="1" applyFont="1" applyBorder="1" applyAlignment="1">
      <alignment/>
    </xf>
    <xf numFmtId="3" fontId="246" fillId="0" borderId="11" xfId="0" applyNumberFormat="1" applyFont="1" applyBorder="1" applyAlignment="1">
      <alignment horizontal="center"/>
    </xf>
    <xf numFmtId="3" fontId="205" fillId="0" borderId="10" xfId="0" applyNumberFormat="1" applyFont="1" applyBorder="1" applyAlignment="1">
      <alignment/>
    </xf>
    <xf numFmtId="3" fontId="203" fillId="0" borderId="10" xfId="0" applyNumberFormat="1" applyFont="1" applyBorder="1" applyAlignment="1">
      <alignment horizontal="center"/>
    </xf>
    <xf numFmtId="3" fontId="246" fillId="0" borderId="10" xfId="0" applyNumberFormat="1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246" fillId="0" borderId="10" xfId="0" applyNumberFormat="1" applyFont="1" applyFill="1" applyBorder="1" applyAlignment="1">
      <alignment horizontal="center"/>
    </xf>
    <xf numFmtId="3" fontId="246" fillId="33" borderId="10" xfId="0" applyNumberFormat="1" applyFont="1" applyFill="1" applyBorder="1" applyAlignment="1">
      <alignment horizontal="center"/>
    </xf>
    <xf numFmtId="3" fontId="55" fillId="33" borderId="10" xfId="0" applyNumberFormat="1" applyFont="1" applyFill="1" applyBorder="1" applyAlignment="1">
      <alignment horizontal="center"/>
    </xf>
    <xf numFmtId="3" fontId="205" fillId="33" borderId="10" xfId="0" applyNumberFormat="1" applyFont="1" applyFill="1" applyBorder="1" applyAlignment="1">
      <alignment/>
    </xf>
    <xf numFmtId="3" fontId="204" fillId="0" borderId="11" xfId="0" applyNumberFormat="1" applyFont="1" applyBorder="1" applyAlignment="1">
      <alignment/>
    </xf>
    <xf numFmtId="3" fontId="204" fillId="0" borderId="17" xfId="0" applyNumberFormat="1" applyFont="1" applyBorder="1" applyAlignment="1">
      <alignment/>
    </xf>
    <xf numFmtId="3" fontId="205" fillId="0" borderId="17" xfId="0" applyNumberFormat="1" applyFont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center"/>
    </xf>
    <xf numFmtId="1" fontId="30" fillId="33" borderId="18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14" fontId="8" fillId="0" borderId="15" xfId="0" applyNumberFormat="1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54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" fillId="0" borderId="18" xfId="0" applyFont="1" applyBorder="1" applyAlignment="1">
      <alignment horizontal="center"/>
    </xf>
    <xf numFmtId="3" fontId="289" fillId="0" borderId="17" xfId="0" applyNumberFormat="1" applyFont="1" applyBorder="1" applyAlignment="1">
      <alignment horizontal="center"/>
    </xf>
    <xf numFmtId="3" fontId="289" fillId="0" borderId="10" xfId="0" applyNumberFormat="1" applyFont="1" applyBorder="1" applyAlignment="1">
      <alignment horizontal="center"/>
    </xf>
    <xf numFmtId="3" fontId="289" fillId="0" borderId="10" xfId="0" applyNumberFormat="1" applyFont="1" applyBorder="1" applyAlignment="1">
      <alignment horizontal="center" vertical="center" wrapText="1"/>
    </xf>
    <xf numFmtId="3" fontId="194" fillId="0" borderId="17" xfId="0" applyNumberFormat="1" applyFont="1" applyBorder="1" applyAlignment="1">
      <alignment horizontal="center"/>
    </xf>
    <xf numFmtId="3" fontId="289" fillId="0" borderId="16" xfId="0" applyNumberFormat="1" applyFont="1" applyBorder="1" applyAlignment="1">
      <alignment horizontal="center"/>
    </xf>
    <xf numFmtId="3" fontId="194" fillId="0" borderId="10" xfId="0" applyNumberFormat="1" applyFont="1" applyFill="1" applyBorder="1" applyAlignment="1">
      <alignment horizontal="center"/>
    </xf>
    <xf numFmtId="3" fontId="194" fillId="0" borderId="10" xfId="0" applyNumberFormat="1" applyFont="1" applyBorder="1" applyAlignment="1">
      <alignment horizontal="center" vertical="center"/>
    </xf>
    <xf numFmtId="3" fontId="289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3" fontId="245" fillId="0" borderId="10" xfId="0" applyNumberFormat="1" applyFont="1" applyBorder="1" applyAlignment="1">
      <alignment horizontal="center"/>
    </xf>
    <xf numFmtId="3" fontId="245" fillId="0" borderId="17" xfId="0" applyNumberFormat="1" applyFont="1" applyBorder="1" applyAlignment="1">
      <alignment horizontal="center"/>
    </xf>
    <xf numFmtId="3" fontId="194" fillId="0" borderId="11" xfId="0" applyNumberFormat="1" applyFont="1" applyBorder="1" applyAlignment="1">
      <alignment horizontal="center"/>
    </xf>
    <xf numFmtId="3" fontId="289" fillId="0" borderId="17" xfId="0" applyNumberFormat="1" applyFont="1" applyFill="1" applyBorder="1" applyAlignment="1">
      <alignment horizontal="center"/>
    </xf>
    <xf numFmtId="3" fontId="290" fillId="0" borderId="10" xfId="0" applyNumberFormat="1" applyFont="1" applyBorder="1" applyAlignment="1">
      <alignment horizontal="center"/>
    </xf>
    <xf numFmtId="3" fontId="194" fillId="0" borderId="17" xfId="0" applyNumberFormat="1" applyFont="1" applyFill="1" applyBorder="1" applyAlignment="1">
      <alignment horizontal="center"/>
    </xf>
    <xf numFmtId="3" fontId="244" fillId="0" borderId="17" xfId="0" applyNumberFormat="1" applyFont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90" fillId="33" borderId="13" xfId="0" applyFont="1" applyFill="1" applyBorder="1" applyAlignment="1">
      <alignment horizontal="left"/>
    </xf>
    <xf numFmtId="0" fontId="196" fillId="33" borderId="17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left"/>
    </xf>
    <xf numFmtId="14" fontId="1" fillId="33" borderId="20" xfId="0" applyNumberFormat="1" applyFont="1" applyFill="1" applyBorder="1" applyAlignment="1">
      <alignment horizontal="center"/>
    </xf>
    <xf numFmtId="14" fontId="1" fillId="33" borderId="15" xfId="0" applyNumberFormat="1" applyFont="1" applyFill="1" applyBorder="1" applyAlignment="1">
      <alignment/>
    </xf>
    <xf numFmtId="0" fontId="33" fillId="33" borderId="15" xfId="0" applyFont="1" applyFill="1" applyBorder="1" applyAlignment="1">
      <alignment horizontal="left"/>
    </xf>
    <xf numFmtId="14" fontId="1" fillId="33" borderId="19" xfId="0" applyNumberFormat="1" applyFont="1" applyFill="1" applyBorder="1" applyAlignment="1">
      <alignment horizontal="center"/>
    </xf>
    <xf numFmtId="14" fontId="1" fillId="33" borderId="13" xfId="0" applyNumberFormat="1" applyFont="1" applyFill="1" applyBorder="1" applyAlignment="1">
      <alignment horizontal="center"/>
    </xf>
    <xf numFmtId="14" fontId="1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33" fillId="33" borderId="20" xfId="0" applyFont="1" applyFill="1" applyBorder="1" applyAlignment="1">
      <alignment horizontal="right"/>
    </xf>
    <xf numFmtId="14" fontId="1" fillId="33" borderId="19" xfId="0" applyNumberFormat="1" applyFont="1" applyFill="1" applyBorder="1" applyAlignment="1">
      <alignment/>
    </xf>
    <xf numFmtId="0" fontId="33" fillId="33" borderId="13" xfId="0" applyFont="1" applyFill="1" applyBorder="1" applyAlignment="1">
      <alignment horizontal="right"/>
    </xf>
    <xf numFmtId="14" fontId="1" fillId="33" borderId="17" xfId="0" applyNumberFormat="1" applyFont="1" applyFill="1" applyBorder="1" applyAlignment="1">
      <alignment/>
    </xf>
    <xf numFmtId="0" fontId="64" fillId="33" borderId="12" xfId="0" applyFont="1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81" fillId="33" borderId="18" xfId="0" applyFont="1" applyFill="1" applyBorder="1" applyAlignment="1">
      <alignment horizontal="center"/>
    </xf>
    <xf numFmtId="0" fontId="81" fillId="33" borderId="10" xfId="0" applyFont="1" applyFill="1" applyBorder="1" applyAlignment="1">
      <alignment horizontal="center"/>
    </xf>
    <xf numFmtId="0" fontId="81" fillId="33" borderId="0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291" fillId="33" borderId="10" xfId="0" applyFont="1" applyFill="1" applyBorder="1" applyAlignment="1">
      <alignment horizontal="center"/>
    </xf>
    <xf numFmtId="0" fontId="94" fillId="33" borderId="10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0" fontId="81" fillId="33" borderId="12" xfId="0" applyFont="1" applyFill="1" applyBorder="1" applyAlignment="1">
      <alignment horizontal="center"/>
    </xf>
    <xf numFmtId="0" fontId="81" fillId="33" borderId="11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82" fillId="33" borderId="11" xfId="0" applyFont="1" applyFill="1" applyBorder="1" applyAlignment="1">
      <alignment horizontal="center"/>
    </xf>
    <xf numFmtId="0" fontId="94" fillId="33" borderId="11" xfId="0" applyFont="1" applyFill="1" applyBorder="1" applyAlignment="1">
      <alignment horizontal="center"/>
    </xf>
    <xf numFmtId="0" fontId="94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4" fontId="263" fillId="0" borderId="10" xfId="0" applyNumberFormat="1" applyFont="1" applyBorder="1" applyAlignment="1">
      <alignment/>
    </xf>
    <xf numFmtId="4" fontId="264" fillId="0" borderId="10" xfId="0" applyNumberFormat="1" applyFont="1" applyBorder="1" applyAlignment="1">
      <alignment/>
    </xf>
    <xf numFmtId="4" fontId="233" fillId="0" borderId="10" xfId="0" applyNumberFormat="1" applyFont="1" applyBorder="1" applyAlignment="1">
      <alignment/>
    </xf>
    <xf numFmtId="4" fontId="292" fillId="0" borderId="17" xfId="0" applyNumberFormat="1" applyFont="1" applyBorder="1" applyAlignment="1">
      <alignment horizontal="center"/>
    </xf>
    <xf numFmtId="4" fontId="264" fillId="0" borderId="17" xfId="0" applyNumberFormat="1" applyFont="1" applyBorder="1" applyAlignment="1">
      <alignment/>
    </xf>
    <xf numFmtId="4" fontId="292" fillId="0" borderId="17" xfId="0" applyNumberFormat="1" applyFont="1" applyFill="1" applyBorder="1" applyAlignment="1">
      <alignment horizontal="center"/>
    </xf>
    <xf numFmtId="4" fontId="263" fillId="0" borderId="17" xfId="0" applyNumberFormat="1" applyFont="1" applyBorder="1" applyAlignment="1">
      <alignment/>
    </xf>
    <xf numFmtId="4" fontId="193" fillId="0" borderId="10" xfId="0" applyNumberFormat="1" applyFont="1" applyBorder="1" applyAlignment="1">
      <alignment horizontal="center"/>
    </xf>
    <xf numFmtId="4" fontId="51" fillId="0" borderId="11" xfId="0" applyNumberFormat="1" applyFont="1" applyBorder="1" applyAlignment="1">
      <alignment horizontal="center"/>
    </xf>
    <xf numFmtId="4" fontId="293" fillId="0" borderId="10" xfId="0" applyNumberFormat="1" applyFont="1" applyBorder="1" applyAlignment="1">
      <alignment horizontal="center"/>
    </xf>
    <xf numFmtId="4" fontId="255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4" fontId="263" fillId="0" borderId="10" xfId="0" applyNumberFormat="1" applyFont="1" applyBorder="1" applyAlignment="1">
      <alignment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/>
    </xf>
    <xf numFmtId="4" fontId="210" fillId="0" borderId="10" xfId="0" applyNumberFormat="1" applyFont="1" applyBorder="1" applyAlignment="1">
      <alignment horizontal="center"/>
    </xf>
    <xf numFmtId="4" fontId="51" fillId="33" borderId="10" xfId="0" applyNumberFormat="1" applyFont="1" applyFill="1" applyBorder="1" applyAlignment="1">
      <alignment horizontal="center"/>
    </xf>
    <xf numFmtId="4" fontId="263" fillId="33" borderId="10" xfId="0" applyNumberFormat="1" applyFont="1" applyFill="1" applyBorder="1" applyAlignment="1">
      <alignment/>
    </xf>
    <xf numFmtId="4" fontId="264" fillId="0" borderId="11" xfId="0" applyNumberFormat="1" applyFont="1" applyBorder="1" applyAlignment="1">
      <alignment/>
    </xf>
    <xf numFmtId="3" fontId="51" fillId="0" borderId="11" xfId="0" applyNumberFormat="1" applyFont="1" applyBorder="1" applyAlignment="1">
      <alignment horizontal="center"/>
    </xf>
    <xf numFmtId="4" fontId="294" fillId="0" borderId="17" xfId="0" applyNumberFormat="1" applyFont="1" applyBorder="1" applyAlignment="1">
      <alignment horizontal="center"/>
    </xf>
    <xf numFmtId="4" fontId="295" fillId="0" borderId="10" xfId="0" applyNumberFormat="1" applyFont="1" applyBorder="1" applyAlignment="1">
      <alignment horizontal="center"/>
    </xf>
    <xf numFmtId="4" fontId="295" fillId="0" borderId="10" xfId="0" applyNumberFormat="1" applyFont="1" applyBorder="1" applyAlignment="1">
      <alignment/>
    </xf>
    <xf numFmtId="4" fontId="205" fillId="0" borderId="10" xfId="0" applyNumberFormat="1" applyFont="1" applyBorder="1" applyAlignment="1">
      <alignment horizontal="center"/>
    </xf>
    <xf numFmtId="4" fontId="294" fillId="0" borderId="17" xfId="0" applyNumberFormat="1" applyFont="1" applyFill="1" applyBorder="1" applyAlignment="1">
      <alignment horizontal="center"/>
    </xf>
    <xf numFmtId="4" fontId="205" fillId="0" borderId="10" xfId="0" applyNumberFormat="1" applyFont="1" applyFill="1" applyBorder="1" applyAlignment="1">
      <alignment horizontal="center"/>
    </xf>
    <xf numFmtId="4" fontId="205" fillId="0" borderId="17" xfId="0" applyNumberFormat="1" applyFont="1" applyBorder="1" applyAlignment="1">
      <alignment horizontal="center"/>
    </xf>
    <xf numFmtId="4" fontId="296" fillId="0" borderId="10" xfId="0" applyNumberFormat="1" applyFont="1" applyBorder="1" applyAlignment="1">
      <alignment horizontal="right"/>
    </xf>
    <xf numFmtId="4" fontId="297" fillId="0" borderId="17" xfId="0" applyNumberFormat="1" applyFont="1" applyBorder="1" applyAlignment="1">
      <alignment horizontal="center"/>
    </xf>
    <xf numFmtId="4" fontId="298" fillId="0" borderId="10" xfId="0" applyNumberFormat="1" applyFont="1" applyBorder="1" applyAlignment="1">
      <alignment horizontal="center"/>
    </xf>
    <xf numFmtId="4" fontId="294" fillId="0" borderId="16" xfId="0" applyNumberFormat="1" applyFont="1" applyBorder="1" applyAlignment="1">
      <alignment horizontal="center"/>
    </xf>
    <xf numFmtId="4" fontId="205" fillId="0" borderId="11" xfId="0" applyNumberFormat="1" applyFont="1" applyBorder="1" applyAlignment="1">
      <alignment horizontal="center"/>
    </xf>
    <xf numFmtId="4" fontId="299" fillId="0" borderId="10" xfId="0" applyNumberFormat="1" applyFont="1" applyBorder="1" applyAlignment="1">
      <alignment horizontal="center"/>
    </xf>
    <xf numFmtId="4" fontId="298" fillId="0" borderId="17" xfId="0" applyNumberFormat="1" applyFont="1" applyBorder="1" applyAlignment="1">
      <alignment horizontal="center"/>
    </xf>
    <xf numFmtId="4" fontId="295" fillId="0" borderId="17" xfId="0" applyNumberFormat="1" applyFont="1" applyBorder="1" applyAlignment="1">
      <alignment horizontal="center"/>
    </xf>
    <xf numFmtId="4" fontId="294" fillId="0" borderId="17" xfId="0" applyNumberFormat="1" applyFont="1" applyBorder="1" applyAlignment="1">
      <alignment horizontal="center" vertical="center"/>
    </xf>
    <xf numFmtId="4" fontId="295" fillId="0" borderId="10" xfId="0" applyNumberFormat="1" applyFont="1" applyBorder="1" applyAlignment="1">
      <alignment horizontal="center" vertical="center"/>
    </xf>
    <xf numFmtId="4" fontId="294" fillId="0" borderId="17" xfId="0" applyNumberFormat="1" applyFont="1" applyBorder="1" applyAlignment="1">
      <alignment horizontal="center" vertical="center" wrapText="1"/>
    </xf>
    <xf numFmtId="4" fontId="295" fillId="0" borderId="10" xfId="0" applyNumberFormat="1" applyFont="1" applyBorder="1" applyAlignment="1">
      <alignment horizontal="center" vertical="center" wrapText="1"/>
    </xf>
    <xf numFmtId="4" fontId="295" fillId="0" borderId="16" xfId="0" applyNumberFormat="1" applyFont="1" applyBorder="1" applyAlignment="1">
      <alignment horizontal="center"/>
    </xf>
    <xf numFmtId="4" fontId="199" fillId="0" borderId="17" xfId="0" applyNumberFormat="1" applyFont="1" applyBorder="1" applyAlignment="1">
      <alignment horizontal="center" vertical="center"/>
    </xf>
    <xf numFmtId="4" fontId="205" fillId="0" borderId="10" xfId="0" applyNumberFormat="1" applyFont="1" applyBorder="1" applyAlignment="1">
      <alignment horizontal="center" vertical="center"/>
    </xf>
    <xf numFmtId="4" fontId="199" fillId="0" borderId="17" xfId="0" applyNumberFormat="1" applyFont="1" applyBorder="1" applyAlignment="1">
      <alignment horizontal="center"/>
    </xf>
    <xf numFmtId="4" fontId="71" fillId="0" borderId="17" xfId="0" applyNumberFormat="1" applyFont="1" applyBorder="1" applyAlignment="1">
      <alignment horizontal="center"/>
    </xf>
    <xf numFmtId="4" fontId="300" fillId="0" borderId="17" xfId="0" applyNumberFormat="1" applyFont="1" applyBorder="1" applyAlignment="1">
      <alignment horizontal="center"/>
    </xf>
    <xf numFmtId="4" fontId="301" fillId="0" borderId="17" xfId="0" applyNumberFormat="1" applyFont="1" applyBorder="1" applyAlignment="1">
      <alignment horizontal="center"/>
    </xf>
    <xf numFmtId="4" fontId="302" fillId="0" borderId="17" xfId="0" applyNumberFormat="1" applyFont="1" applyBorder="1" applyAlignment="1">
      <alignment horizontal="center"/>
    </xf>
    <xf numFmtId="4" fontId="303" fillId="0" borderId="10" xfId="0" applyNumberFormat="1" applyFont="1" applyBorder="1" applyAlignment="1">
      <alignment horizontal="center"/>
    </xf>
    <xf numFmtId="4" fontId="304" fillId="0" borderId="17" xfId="0" applyNumberFormat="1" applyFont="1" applyBorder="1" applyAlignment="1">
      <alignment horizontal="center"/>
    </xf>
    <xf numFmtId="4" fontId="202" fillId="0" borderId="17" xfId="0" applyNumberFormat="1" applyFont="1" applyBorder="1" applyAlignment="1">
      <alignment horizontal="center"/>
    </xf>
    <xf numFmtId="4" fontId="305" fillId="0" borderId="17" xfId="0" applyNumberFormat="1" applyFont="1" applyBorder="1" applyAlignment="1">
      <alignment horizontal="center"/>
    </xf>
    <xf numFmtId="4" fontId="300" fillId="0" borderId="16" xfId="0" applyNumberFormat="1" applyFont="1" applyBorder="1" applyAlignment="1">
      <alignment horizontal="center"/>
    </xf>
    <xf numFmtId="4" fontId="305" fillId="0" borderId="16" xfId="0" applyNumberFormat="1" applyFont="1" applyBorder="1" applyAlignment="1">
      <alignment horizontal="center"/>
    </xf>
    <xf numFmtId="4" fontId="306" fillId="0" borderId="10" xfId="0" applyNumberFormat="1" applyFont="1" applyBorder="1" applyAlignment="1">
      <alignment horizontal="center"/>
    </xf>
    <xf numFmtId="4" fontId="294" fillId="0" borderId="10" xfId="0" applyNumberFormat="1" applyFont="1" applyFill="1" applyBorder="1" applyAlignment="1">
      <alignment horizontal="center"/>
    </xf>
    <xf numFmtId="4" fontId="294" fillId="0" borderId="10" xfId="0" applyNumberFormat="1" applyFont="1" applyBorder="1" applyAlignment="1">
      <alignment horizontal="center"/>
    </xf>
    <xf numFmtId="4" fontId="298" fillId="0" borderId="17" xfId="0" applyNumberFormat="1" applyFont="1" applyFill="1" applyBorder="1" applyAlignment="1">
      <alignment horizontal="center"/>
    </xf>
    <xf numFmtId="4" fontId="307" fillId="0" borderId="10" xfId="0" applyNumberFormat="1" applyFont="1" applyBorder="1" applyAlignment="1">
      <alignment horizontal="center"/>
    </xf>
    <xf numFmtId="4" fontId="307" fillId="0" borderId="11" xfId="0" applyNumberFormat="1" applyFont="1" applyBorder="1" applyAlignment="1">
      <alignment horizontal="center"/>
    </xf>
    <xf numFmtId="4" fontId="307" fillId="0" borderId="10" xfId="0" applyNumberFormat="1" applyFont="1" applyBorder="1" applyAlignment="1">
      <alignment horizontal="center" vertical="center" wrapText="1"/>
    </xf>
    <xf numFmtId="4" fontId="300" fillId="0" borderId="17" xfId="0" applyNumberFormat="1" applyFont="1" applyBorder="1" applyAlignment="1">
      <alignment horizontal="center" vertical="center"/>
    </xf>
    <xf numFmtId="4" fontId="307" fillId="0" borderId="10" xfId="0" applyNumberFormat="1" applyFont="1" applyFill="1" applyBorder="1" applyAlignment="1">
      <alignment horizontal="center"/>
    </xf>
    <xf numFmtId="4" fontId="307" fillId="33" borderId="10" xfId="0" applyNumberFormat="1" applyFont="1" applyFill="1" applyBorder="1" applyAlignment="1">
      <alignment horizontal="center"/>
    </xf>
    <xf numFmtId="4" fontId="294" fillId="33" borderId="17" xfId="0" applyNumberFormat="1" applyFont="1" applyFill="1" applyBorder="1" applyAlignment="1">
      <alignment horizontal="center"/>
    </xf>
    <xf numFmtId="4" fontId="199" fillId="0" borderId="16" xfId="0" applyNumberFormat="1" applyFont="1" applyBorder="1" applyAlignment="1">
      <alignment horizontal="center"/>
    </xf>
    <xf numFmtId="3" fontId="199" fillId="0" borderId="16" xfId="0" applyNumberFormat="1" applyFont="1" applyBorder="1" applyAlignment="1">
      <alignment horizontal="center"/>
    </xf>
    <xf numFmtId="3" fontId="307" fillId="0" borderId="11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2" fontId="51" fillId="33" borderId="10" xfId="0" applyNumberFormat="1" applyFont="1" applyFill="1" applyBorder="1" applyAlignment="1">
      <alignment horizontal="center"/>
    </xf>
    <xf numFmtId="2" fontId="51" fillId="33" borderId="18" xfId="0" applyNumberFormat="1" applyFont="1" applyFill="1" applyBorder="1" applyAlignment="1">
      <alignment horizontal="center"/>
    </xf>
    <xf numFmtId="0" fontId="199" fillId="33" borderId="0" xfId="0" applyFont="1" applyFill="1" applyBorder="1" applyAlignment="1">
      <alignment horizontal="center"/>
    </xf>
    <xf numFmtId="0" fontId="205" fillId="33" borderId="10" xfId="0" applyFont="1" applyFill="1" applyBorder="1" applyAlignment="1">
      <alignment horizontal="center"/>
    </xf>
    <xf numFmtId="2" fontId="199" fillId="33" borderId="10" xfId="0" applyNumberFormat="1" applyFont="1" applyFill="1" applyBorder="1" applyAlignment="1">
      <alignment horizontal="center"/>
    </xf>
    <xf numFmtId="2" fontId="199" fillId="33" borderId="0" xfId="0" applyNumberFormat="1" applyFont="1" applyFill="1" applyBorder="1" applyAlignment="1">
      <alignment horizontal="center"/>
    </xf>
    <xf numFmtId="0" fontId="199" fillId="33" borderId="15" xfId="0" applyFont="1" applyFill="1" applyBorder="1" applyAlignment="1">
      <alignment horizontal="center"/>
    </xf>
    <xf numFmtId="2" fontId="205" fillId="33" borderId="21" xfId="0" applyNumberFormat="1" applyFont="1" applyFill="1" applyBorder="1" applyAlignment="1">
      <alignment horizontal="center"/>
    </xf>
    <xf numFmtId="0" fontId="202" fillId="33" borderId="15" xfId="0" applyFont="1" applyFill="1" applyBorder="1" applyAlignment="1">
      <alignment horizontal="center"/>
    </xf>
    <xf numFmtId="0" fontId="308" fillId="33" borderId="18" xfId="0" applyFont="1" applyFill="1" applyBorder="1" applyAlignment="1">
      <alignment horizontal="center"/>
    </xf>
    <xf numFmtId="0" fontId="309" fillId="33" borderId="12" xfId="0" applyFont="1" applyFill="1" applyBorder="1" applyAlignment="1">
      <alignment horizontal="center"/>
    </xf>
    <xf numFmtId="2" fontId="296" fillId="33" borderId="11" xfId="0" applyNumberFormat="1" applyFont="1" applyFill="1" applyBorder="1" applyAlignment="1">
      <alignment horizontal="center"/>
    </xf>
    <xf numFmtId="1" fontId="45" fillId="33" borderId="0" xfId="0" applyNumberFormat="1" applyFont="1" applyFill="1" applyBorder="1" applyAlignment="1">
      <alignment horizontal="center"/>
    </xf>
    <xf numFmtId="14" fontId="45" fillId="33" borderId="0" xfId="0" applyNumberFormat="1" applyFont="1" applyFill="1" applyBorder="1" applyAlignment="1">
      <alignment horizontal="left"/>
    </xf>
    <xf numFmtId="1" fontId="51" fillId="33" borderId="10" xfId="0" applyNumberFormat="1" applyFont="1" applyFill="1" applyBorder="1" applyAlignment="1">
      <alignment horizontal="center"/>
    </xf>
    <xf numFmtId="1" fontId="210" fillId="33" borderId="18" xfId="0" applyNumberFormat="1" applyFont="1" applyFill="1" applyBorder="1" applyAlignment="1">
      <alignment horizontal="center"/>
    </xf>
    <xf numFmtId="2" fontId="51" fillId="33" borderId="11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/>
    </xf>
    <xf numFmtId="0" fontId="202" fillId="0" borderId="0" xfId="0" applyFont="1" applyBorder="1" applyAlignment="1">
      <alignment/>
    </xf>
    <xf numFmtId="0" fontId="311" fillId="0" borderId="0" xfId="0" applyFont="1" applyBorder="1" applyAlignment="1">
      <alignment/>
    </xf>
    <xf numFmtId="0" fontId="312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3" fontId="289" fillId="0" borderId="10" xfId="0" applyNumberFormat="1" applyFont="1" applyBorder="1" applyAlignment="1">
      <alignment horizontal="center" vertical="center"/>
    </xf>
    <xf numFmtId="0" fontId="313" fillId="0" borderId="0" xfId="0" applyFont="1" applyBorder="1" applyAlignment="1">
      <alignment/>
    </xf>
    <xf numFmtId="0" fontId="306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69" fillId="0" borderId="0" xfId="0" applyFont="1" applyBorder="1" applyAlignment="1">
      <alignment/>
    </xf>
    <xf numFmtId="0" fontId="311" fillId="0" borderId="0" xfId="0" applyFont="1" applyBorder="1" applyAlignment="1">
      <alignment/>
    </xf>
    <xf numFmtId="0" fontId="314" fillId="0" borderId="0" xfId="0" applyFont="1" applyBorder="1" applyAlignment="1">
      <alignment/>
    </xf>
    <xf numFmtId="0" fontId="311" fillId="0" borderId="0" xfId="0" applyFont="1" applyFill="1" applyBorder="1" applyAlignment="1">
      <alignment/>
    </xf>
    <xf numFmtId="0" fontId="311" fillId="0" borderId="12" xfId="0" applyFont="1" applyBorder="1" applyAlignment="1">
      <alignment/>
    </xf>
    <xf numFmtId="0" fontId="311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200" fillId="0" borderId="0" xfId="0" applyFont="1" applyBorder="1" applyAlignment="1">
      <alignment/>
    </xf>
    <xf numFmtId="0" fontId="315" fillId="0" borderId="0" xfId="0" applyFont="1" applyBorder="1" applyAlignment="1">
      <alignment/>
    </xf>
    <xf numFmtId="1" fontId="316" fillId="0" borderId="0" xfId="0" applyNumberFormat="1" applyFont="1" applyBorder="1" applyAlignment="1">
      <alignment horizontal="center"/>
    </xf>
    <xf numFmtId="0" fontId="160" fillId="0" borderId="0" xfId="0" applyFont="1" applyBorder="1" applyAlignment="1">
      <alignment/>
    </xf>
    <xf numFmtId="0" fontId="311" fillId="0" borderId="0" xfId="0" applyFont="1" applyBorder="1" applyAlignment="1">
      <alignment horizontal="right"/>
    </xf>
    <xf numFmtId="0" fontId="317" fillId="0" borderId="0" xfId="0" applyFont="1" applyBorder="1" applyAlignment="1">
      <alignment/>
    </xf>
    <xf numFmtId="0" fontId="278" fillId="0" borderId="17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204" fillId="0" borderId="0" xfId="0" applyFont="1" applyAlignment="1">
      <alignment/>
    </xf>
    <xf numFmtId="0" fontId="204" fillId="0" borderId="0" xfId="0" applyFont="1" applyAlignment="1">
      <alignment horizontal="right"/>
    </xf>
    <xf numFmtId="0" fontId="55" fillId="0" borderId="0" xfId="0" applyFont="1" applyBorder="1" applyAlignment="1">
      <alignment/>
    </xf>
    <xf numFmtId="0" fontId="199" fillId="0" borderId="31" xfId="0" applyFont="1" applyBorder="1" applyAlignment="1">
      <alignment/>
    </xf>
    <xf numFmtId="0" fontId="71" fillId="0" borderId="0" xfId="0" applyFont="1" applyFill="1" applyBorder="1" applyAlignment="1">
      <alignment/>
    </xf>
    <xf numFmtId="0" fontId="318" fillId="0" borderId="0" xfId="0" applyFont="1" applyBorder="1" applyAlignment="1">
      <alignment horizontal="left"/>
    </xf>
    <xf numFmtId="0" fontId="92" fillId="0" borderId="20" xfId="0" applyFont="1" applyBorder="1" applyAlignment="1">
      <alignment horizontal="center"/>
    </xf>
    <xf numFmtId="0" fontId="92" fillId="0" borderId="15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8" xfId="0" applyFont="1" applyBorder="1" applyAlignment="1">
      <alignment horizontal="center"/>
    </xf>
    <xf numFmtId="0" fontId="92" fillId="0" borderId="10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92" fillId="0" borderId="11" xfId="0" applyFont="1" applyBorder="1" applyAlignment="1">
      <alignment horizontal="center"/>
    </xf>
    <xf numFmtId="0" fontId="61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311" fillId="0" borderId="0" xfId="0" applyFont="1" applyBorder="1" applyAlignment="1">
      <alignment horizontal="left" vertical="top"/>
    </xf>
    <xf numFmtId="0" fontId="311" fillId="0" borderId="0" xfId="0" applyFont="1" applyFill="1" applyBorder="1" applyAlignment="1">
      <alignment horizontal="left" vertical="top"/>
    </xf>
    <xf numFmtId="0" fontId="311" fillId="0" borderId="12" xfId="0" applyFont="1" applyBorder="1" applyAlignment="1">
      <alignment horizontal="left" vertical="top"/>
    </xf>
    <xf numFmtId="1" fontId="245" fillId="0" borderId="17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top"/>
    </xf>
    <xf numFmtId="0" fontId="1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63" fillId="0" borderId="10" xfId="0" applyFont="1" applyBorder="1" applyAlignment="1">
      <alignment/>
    </xf>
    <xf numFmtId="0" fontId="64" fillId="0" borderId="10" xfId="0" applyFont="1" applyFill="1" applyBorder="1" applyAlignment="1">
      <alignment/>
    </xf>
    <xf numFmtId="2" fontId="64" fillId="0" borderId="0" xfId="0" applyNumberFormat="1" applyFont="1" applyBorder="1" applyAlignment="1">
      <alignment/>
    </xf>
    <xf numFmtId="2" fontId="64" fillId="0" borderId="13" xfId="0" applyNumberFormat="1" applyFont="1" applyBorder="1" applyAlignment="1">
      <alignment/>
    </xf>
    <xf numFmtId="0" fontId="64" fillId="0" borderId="15" xfId="0" applyFont="1" applyBorder="1" applyAlignment="1">
      <alignment/>
    </xf>
    <xf numFmtId="1" fontId="64" fillId="0" borderId="0" xfId="0" applyNumberFormat="1" applyFont="1" applyBorder="1" applyAlignment="1">
      <alignment/>
    </xf>
    <xf numFmtId="1" fontId="95" fillId="0" borderId="13" xfId="0" applyNumberFormat="1" applyFont="1" applyBorder="1" applyAlignment="1">
      <alignment horizontal="center"/>
    </xf>
    <xf numFmtId="1" fontId="120" fillId="0" borderId="10" xfId="0" applyNumberFormat="1" applyFont="1" applyBorder="1" applyAlignment="1">
      <alignment horizontal="center"/>
    </xf>
    <xf numFmtId="1" fontId="120" fillId="0" borderId="0" xfId="0" applyNumberFormat="1" applyFont="1" applyBorder="1" applyAlignment="1">
      <alignment horizontal="center"/>
    </xf>
    <xf numFmtId="1" fontId="119" fillId="0" borderId="0" xfId="0" applyNumberFormat="1" applyFont="1" applyBorder="1" applyAlignment="1">
      <alignment/>
    </xf>
    <xf numFmtId="2" fontId="120" fillId="0" borderId="13" xfId="0" applyNumberFormat="1" applyFont="1" applyBorder="1" applyAlignment="1">
      <alignment horizontal="center"/>
    </xf>
    <xf numFmtId="2" fontId="319" fillId="0" borderId="13" xfId="0" applyNumberFormat="1" applyFont="1" applyBorder="1" applyAlignment="1">
      <alignment horizontal="center"/>
    </xf>
    <xf numFmtId="2" fontId="120" fillId="0" borderId="14" xfId="0" applyNumberFormat="1" applyFont="1" applyBorder="1" applyAlignment="1">
      <alignment horizontal="center"/>
    </xf>
    <xf numFmtId="2" fontId="119" fillId="0" borderId="15" xfId="0" applyNumberFormat="1" applyFont="1" applyBorder="1" applyAlignment="1">
      <alignment/>
    </xf>
    <xf numFmtId="2" fontId="216" fillId="0" borderId="13" xfId="0" applyNumberFormat="1" applyFont="1" applyBorder="1" applyAlignment="1">
      <alignment horizontal="center"/>
    </xf>
    <xf numFmtId="2" fontId="216" fillId="0" borderId="10" xfId="0" applyNumberFormat="1" applyFont="1" applyBorder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2" fontId="81" fillId="0" borderId="18" xfId="0" applyNumberFormat="1" applyFont="1" applyBorder="1" applyAlignment="1">
      <alignment/>
    </xf>
    <xf numFmtId="2" fontId="120" fillId="0" borderId="10" xfId="0" applyNumberFormat="1" applyFont="1" applyBorder="1" applyAlignment="1">
      <alignment horizontal="center"/>
    </xf>
    <xf numFmtId="2" fontId="319" fillId="0" borderId="10" xfId="0" applyNumberFormat="1" applyFont="1" applyBorder="1" applyAlignment="1">
      <alignment horizontal="center"/>
    </xf>
    <xf numFmtId="2" fontId="120" fillId="0" borderId="11" xfId="0" applyNumberFormat="1" applyFont="1" applyBorder="1" applyAlignment="1">
      <alignment horizontal="center"/>
    </xf>
    <xf numFmtId="2" fontId="119" fillId="0" borderId="18" xfId="0" applyNumberFormat="1" applyFont="1" applyBorder="1" applyAlignment="1">
      <alignment/>
    </xf>
    <xf numFmtId="0" fontId="331" fillId="0" borderId="0" xfId="0" applyFont="1" applyBorder="1" applyAlignment="1">
      <alignment horizontal="right"/>
    </xf>
    <xf numFmtId="0" fontId="121" fillId="0" borderId="0" xfId="0" applyFont="1" applyAlignment="1">
      <alignment/>
    </xf>
    <xf numFmtId="0" fontId="119" fillId="0" borderId="0" xfId="0" applyFont="1" applyAlignment="1">
      <alignment horizontal="right"/>
    </xf>
    <xf numFmtId="1" fontId="119" fillId="0" borderId="0" xfId="0" applyNumberFormat="1" applyFont="1" applyAlignment="1">
      <alignment horizontal="right"/>
    </xf>
    <xf numFmtId="0" fontId="119" fillId="0" borderId="0" xfId="0" applyFont="1" applyAlignment="1">
      <alignment horizontal="center"/>
    </xf>
    <xf numFmtId="0" fontId="90" fillId="0" borderId="0" xfId="0" applyFont="1" applyBorder="1" applyAlignment="1">
      <alignment horizontal="left"/>
    </xf>
    <xf numFmtId="0" fontId="120" fillId="0" borderId="0" xfId="0" applyFont="1" applyBorder="1" applyAlignment="1">
      <alignment/>
    </xf>
    <xf numFmtId="0" fontId="321" fillId="0" borderId="0" xfId="0" applyFont="1" applyBorder="1" applyAlignment="1">
      <alignment/>
    </xf>
    <xf numFmtId="0" fontId="322" fillId="0" borderId="13" xfId="0" applyFont="1" applyBorder="1" applyAlignment="1">
      <alignment horizontal="left" vertical="top" wrapText="1"/>
    </xf>
    <xf numFmtId="0" fontId="322" fillId="0" borderId="0" xfId="0" applyFont="1" applyBorder="1" applyAlignment="1">
      <alignment horizontal="left" vertical="top" wrapText="1"/>
    </xf>
    <xf numFmtId="0" fontId="281" fillId="0" borderId="13" xfId="0" applyFont="1" applyBorder="1" applyAlignment="1">
      <alignment/>
    </xf>
    <xf numFmtId="0" fontId="119" fillId="0" borderId="13" xfId="0" applyFont="1" applyBorder="1" applyAlignment="1">
      <alignment/>
    </xf>
    <xf numFmtId="0" fontId="324" fillId="0" borderId="0" xfId="0" applyFont="1" applyBorder="1" applyAlignment="1">
      <alignment/>
    </xf>
    <xf numFmtId="0" fontId="324" fillId="0" borderId="17" xfId="0" applyFont="1" applyBorder="1" applyAlignment="1">
      <alignment/>
    </xf>
    <xf numFmtId="0" fontId="281" fillId="0" borderId="0" xfId="0" applyFont="1" applyBorder="1" applyAlignment="1">
      <alignment/>
    </xf>
    <xf numFmtId="0" fontId="325" fillId="0" borderId="0" xfId="0" applyFont="1" applyBorder="1" applyAlignment="1">
      <alignment/>
    </xf>
    <xf numFmtId="0" fontId="325" fillId="0" borderId="0" xfId="0" applyFont="1" applyBorder="1" applyAlignment="1">
      <alignment horizontal="center"/>
    </xf>
    <xf numFmtId="0" fontId="281" fillId="0" borderId="13" xfId="0" applyFont="1" applyBorder="1" applyAlignment="1">
      <alignment horizontal="right"/>
    </xf>
    <xf numFmtId="0" fontId="120" fillId="0" borderId="17" xfId="0" applyFont="1" applyBorder="1" applyAlignment="1">
      <alignment horizontal="right" vertical="top" wrapText="1"/>
    </xf>
    <xf numFmtId="0" fontId="119" fillId="0" borderId="0" xfId="0" applyFont="1" applyBorder="1" applyAlignment="1">
      <alignment vertical="top" wrapText="1"/>
    </xf>
    <xf numFmtId="0" fontId="120" fillId="0" borderId="13" xfId="0" applyFont="1" applyBorder="1" applyAlignment="1">
      <alignment/>
    </xf>
    <xf numFmtId="0" fontId="325" fillId="0" borderId="17" xfId="0" applyFont="1" applyBorder="1" applyAlignment="1">
      <alignment horizontal="center"/>
    </xf>
    <xf numFmtId="0" fontId="321" fillId="0" borderId="17" xfId="0" applyFont="1" applyBorder="1" applyAlignment="1">
      <alignment horizontal="left"/>
    </xf>
    <xf numFmtId="0" fontId="119" fillId="0" borderId="13" xfId="0" applyFont="1" applyBorder="1" applyAlignment="1">
      <alignment horizontal="right"/>
    </xf>
    <xf numFmtId="0" fontId="281" fillId="0" borderId="17" xfId="0" applyFont="1" applyBorder="1" applyAlignment="1">
      <alignment/>
    </xf>
    <xf numFmtId="0" fontId="327" fillId="0" borderId="18" xfId="0" applyFont="1" applyBorder="1" applyAlignment="1">
      <alignment/>
    </xf>
    <xf numFmtId="0" fontId="119" fillId="0" borderId="15" xfId="0" applyFont="1" applyBorder="1" applyAlignment="1">
      <alignment/>
    </xf>
    <xf numFmtId="1" fontId="104" fillId="0" borderId="10" xfId="0" applyNumberFormat="1" applyFont="1" applyBorder="1" applyAlignment="1">
      <alignment horizontal="center"/>
    </xf>
    <xf numFmtId="1" fontId="104" fillId="0" borderId="17" xfId="0" applyNumberFormat="1" applyFont="1" applyBorder="1" applyAlignment="1">
      <alignment horizontal="center"/>
    </xf>
    <xf numFmtId="0" fontId="329" fillId="0" borderId="13" xfId="0" applyFont="1" applyBorder="1" applyAlignment="1">
      <alignment horizontal="center"/>
    </xf>
    <xf numFmtId="0" fontId="329" fillId="0" borderId="10" xfId="0" applyFont="1" applyBorder="1" applyAlignment="1">
      <alignment horizontal="center"/>
    </xf>
    <xf numFmtId="1" fontId="93" fillId="0" borderId="10" xfId="0" applyNumberFormat="1" applyFont="1" applyBorder="1" applyAlignment="1">
      <alignment horizontal="center"/>
    </xf>
    <xf numFmtId="0" fontId="330" fillId="0" borderId="13" xfId="0" applyFont="1" applyBorder="1" applyAlignment="1">
      <alignment horizontal="center"/>
    </xf>
    <xf numFmtId="0" fontId="330" fillId="0" borderId="10" xfId="0" applyFont="1" applyBorder="1" applyAlignment="1">
      <alignment horizontal="center"/>
    </xf>
    <xf numFmtId="0" fontId="91" fillId="0" borderId="18" xfId="0" applyFont="1" applyBorder="1" applyAlignment="1">
      <alignment/>
    </xf>
    <xf numFmtId="0" fontId="88" fillId="0" borderId="17" xfId="0" applyFont="1" applyBorder="1" applyAlignment="1">
      <alignment/>
    </xf>
    <xf numFmtId="2" fontId="216" fillId="0" borderId="11" xfId="0" applyNumberFormat="1" applyFont="1" applyBorder="1" applyAlignment="1">
      <alignment horizontal="center"/>
    </xf>
    <xf numFmtId="1" fontId="106" fillId="0" borderId="0" xfId="0" applyNumberFormat="1" applyFont="1" applyBorder="1" applyAlignment="1">
      <alignment horizontal="center"/>
    </xf>
    <xf numFmtId="1" fontId="104" fillId="0" borderId="17" xfId="0" applyNumberFormat="1" applyFont="1" applyBorder="1" applyAlignment="1">
      <alignment/>
    </xf>
    <xf numFmtId="1" fontId="82" fillId="0" borderId="16" xfId="0" applyNumberFormat="1" applyFont="1" applyBorder="1" applyAlignment="1">
      <alignment horizontal="center"/>
    </xf>
    <xf numFmtId="1" fontId="117" fillId="0" borderId="17" xfId="0" applyNumberFormat="1" applyFont="1" applyBorder="1" applyAlignment="1">
      <alignment horizontal="center"/>
    </xf>
    <xf numFmtId="1" fontId="104" fillId="0" borderId="16" xfId="0" applyNumberFormat="1" applyFont="1" applyBorder="1" applyAlignment="1">
      <alignment horizontal="center"/>
    </xf>
    <xf numFmtId="1" fontId="117" fillId="0" borderId="16" xfId="0" applyNumberFormat="1" applyFont="1" applyBorder="1" applyAlignment="1">
      <alignment horizontal="center"/>
    </xf>
    <xf numFmtId="1" fontId="94" fillId="0" borderId="12" xfId="0" applyNumberFormat="1" applyFont="1" applyBorder="1" applyAlignment="1">
      <alignment horizontal="center"/>
    </xf>
    <xf numFmtId="1" fontId="104" fillId="0" borderId="17" xfId="0" applyNumberFormat="1" applyFont="1" applyFill="1" applyBorder="1" applyAlignment="1">
      <alignment horizontal="center"/>
    </xf>
    <xf numFmtId="1" fontId="102" fillId="0" borderId="0" xfId="0" applyNumberFormat="1" applyFont="1" applyBorder="1" applyAlignment="1">
      <alignment horizontal="center"/>
    </xf>
    <xf numFmtId="1" fontId="64" fillId="0" borderId="10" xfId="0" applyNumberFormat="1" applyFont="1" applyBorder="1" applyAlignment="1">
      <alignment/>
    </xf>
    <xf numFmtId="1" fontId="117" fillId="0" borderId="11" xfId="0" applyNumberFormat="1" applyFont="1" applyBorder="1" applyAlignment="1">
      <alignment horizontal="center"/>
    </xf>
    <xf numFmtId="0" fontId="64" fillId="0" borderId="18" xfId="0" applyFont="1" applyBorder="1" applyAlignment="1">
      <alignment/>
    </xf>
    <xf numFmtId="0" fontId="64" fillId="0" borderId="20" xfId="0" applyFont="1" applyBorder="1" applyAlignment="1">
      <alignment/>
    </xf>
    <xf numFmtId="0" fontId="91" fillId="0" borderId="13" xfId="0" applyFont="1" applyBorder="1" applyAlignment="1">
      <alignment/>
    </xf>
    <xf numFmtId="1" fontId="153" fillId="0" borderId="17" xfId="0" applyNumberFormat="1" applyFont="1" applyBorder="1" applyAlignment="1">
      <alignment/>
    </xf>
    <xf numFmtId="1" fontId="153" fillId="0" borderId="0" xfId="0" applyNumberFormat="1" applyFont="1" applyBorder="1" applyAlignment="1">
      <alignment/>
    </xf>
    <xf numFmtId="2" fontId="216" fillId="0" borderId="0" xfId="0" applyNumberFormat="1" applyFont="1" applyBorder="1" applyAlignment="1">
      <alignment horizontal="center"/>
    </xf>
    <xf numFmtId="2" fontId="319" fillId="0" borderId="0" xfId="0" applyNumberFormat="1" applyFont="1" applyBorder="1" applyAlignment="1">
      <alignment horizontal="center"/>
    </xf>
    <xf numFmtId="2" fontId="120" fillId="0" borderId="0" xfId="0" applyNumberFormat="1" applyFont="1" applyBorder="1" applyAlignment="1">
      <alignment horizontal="center"/>
    </xf>
    <xf numFmtId="2" fontId="81" fillId="0" borderId="0" xfId="0" applyNumberFormat="1" applyFont="1" applyBorder="1" applyAlignment="1">
      <alignment/>
    </xf>
    <xf numFmtId="2" fontId="119" fillId="0" borderId="0" xfId="0" applyNumberFormat="1" applyFont="1" applyBorder="1" applyAlignment="1">
      <alignment/>
    </xf>
    <xf numFmtId="2" fontId="120" fillId="0" borderId="18" xfId="0" applyNumberFormat="1" applyFont="1" applyBorder="1" applyAlignment="1">
      <alignment horizontal="center"/>
    </xf>
    <xf numFmtId="2" fontId="64" fillId="0" borderId="18" xfId="0" applyNumberFormat="1" applyFont="1" applyBorder="1" applyAlignment="1">
      <alignment/>
    </xf>
    <xf numFmtId="2" fontId="93" fillId="0" borderId="10" xfId="0" applyNumberFormat="1" applyFont="1" applyBorder="1" applyAlignment="1">
      <alignment horizontal="center"/>
    </xf>
    <xf numFmtId="1" fontId="89" fillId="0" borderId="21" xfId="0" applyNumberFormat="1" applyFont="1" applyBorder="1" applyAlignment="1">
      <alignment horizontal="center"/>
    </xf>
    <xf numFmtId="0" fontId="120" fillId="0" borderId="10" xfId="0" applyFont="1" applyBorder="1" applyAlignment="1">
      <alignment horizontal="center"/>
    </xf>
    <xf numFmtId="1" fontId="119" fillId="0" borderId="25" xfId="0" applyNumberFormat="1" applyFont="1" applyBorder="1" applyAlignment="1">
      <alignment horizontal="center"/>
    </xf>
    <xf numFmtId="1" fontId="119" fillId="0" borderId="21" xfId="0" applyNumberFormat="1" applyFont="1" applyBorder="1" applyAlignment="1">
      <alignment horizontal="center"/>
    </xf>
    <xf numFmtId="0" fontId="285" fillId="0" borderId="10" xfId="0" applyFont="1" applyBorder="1" applyAlignment="1">
      <alignment horizontal="center"/>
    </xf>
    <xf numFmtId="0" fontId="136" fillId="0" borderId="0" xfId="0" applyFont="1" applyBorder="1" applyAlignment="1">
      <alignment/>
    </xf>
    <xf numFmtId="0" fontId="204" fillId="0" borderId="17" xfId="0" applyFont="1" applyBorder="1" applyAlignment="1">
      <alignment/>
    </xf>
    <xf numFmtId="1" fontId="75" fillId="0" borderId="0" xfId="0" applyNumberFormat="1" applyFont="1" applyAlignment="1">
      <alignment horizontal="right"/>
    </xf>
    <xf numFmtId="0" fontId="91" fillId="0" borderId="11" xfId="0" applyFont="1" applyBorder="1" applyAlignment="1">
      <alignment/>
    </xf>
    <xf numFmtId="0" fontId="91" fillId="0" borderId="14" xfId="0" applyFont="1" applyBorder="1" applyAlignment="1">
      <alignment/>
    </xf>
    <xf numFmtId="0" fontId="91" fillId="0" borderId="20" xfId="0" applyFont="1" applyBorder="1" applyAlignment="1">
      <alignment/>
    </xf>
    <xf numFmtId="0" fontId="330" fillId="0" borderId="10" xfId="0" applyFont="1" applyFill="1" applyBorder="1" applyAlignment="1">
      <alignment/>
    </xf>
    <xf numFmtId="0" fontId="285" fillId="0" borderId="0" xfId="0" applyFont="1" applyFill="1" applyBorder="1" applyAlignment="1">
      <alignment horizontal="center"/>
    </xf>
    <xf numFmtId="1" fontId="93" fillId="0" borderId="10" xfId="0" applyNumberFormat="1" applyFont="1" applyFill="1" applyBorder="1" applyAlignment="1">
      <alignment/>
    </xf>
    <xf numFmtId="0" fontId="330" fillId="0" borderId="10" xfId="0" applyFont="1" applyBorder="1" applyAlignment="1">
      <alignment/>
    </xf>
    <xf numFmtId="1" fontId="93" fillId="0" borderId="10" xfId="0" applyNumberFormat="1" applyFont="1" applyBorder="1" applyAlignment="1">
      <alignment/>
    </xf>
    <xf numFmtId="0" fontId="329" fillId="0" borderId="10" xfId="0" applyFont="1" applyBorder="1" applyAlignment="1">
      <alignment/>
    </xf>
    <xf numFmtId="0" fontId="285" fillId="0" borderId="0" xfId="0" applyFont="1" applyBorder="1" applyAlignment="1">
      <alignment horizontal="center"/>
    </xf>
    <xf numFmtId="0" fontId="209" fillId="0" borderId="0" xfId="0" applyFont="1" applyBorder="1" applyAlignment="1">
      <alignment/>
    </xf>
    <xf numFmtId="0" fontId="283" fillId="0" borderId="0" xfId="0" applyFont="1" applyBorder="1" applyAlignment="1">
      <alignment horizontal="center"/>
    </xf>
    <xf numFmtId="0" fontId="91" fillId="0" borderId="15" xfId="0" applyFont="1" applyBorder="1" applyAlignment="1">
      <alignment/>
    </xf>
    <xf numFmtId="0" fontId="91" fillId="0" borderId="19" xfId="0" applyFont="1" applyBorder="1" applyAlignment="1">
      <alignment/>
    </xf>
    <xf numFmtId="0" fontId="333" fillId="0" borderId="15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104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334" fillId="0" borderId="10" xfId="0" applyFont="1" applyBorder="1" applyAlignment="1">
      <alignment horizontal="center"/>
    </xf>
    <xf numFmtId="0" fontId="334" fillId="0" borderId="11" xfId="0" applyFont="1" applyBorder="1" applyAlignment="1">
      <alignment horizontal="center"/>
    </xf>
    <xf numFmtId="0" fontId="64" fillId="0" borderId="17" xfId="0" applyFont="1" applyBorder="1" applyAlignment="1">
      <alignment horizontal="center" wrapText="1"/>
    </xf>
    <xf numFmtId="1" fontId="95" fillId="0" borderId="20" xfId="0" applyNumberFormat="1" applyFont="1" applyBorder="1" applyAlignment="1">
      <alignment horizontal="center"/>
    </xf>
    <xf numFmtId="1" fontId="93" fillId="33" borderId="10" xfId="0" applyNumberFormat="1" applyFont="1" applyFill="1" applyBorder="1" applyAlignment="1">
      <alignment/>
    </xf>
    <xf numFmtId="0" fontId="50" fillId="0" borderId="15" xfId="0" applyFont="1" applyBorder="1" applyAlignment="1">
      <alignment horizontal="left"/>
    </xf>
    <xf numFmtId="0" fontId="125" fillId="0" borderId="0" xfId="0" applyFont="1" applyBorder="1" applyAlignment="1">
      <alignment/>
    </xf>
    <xf numFmtId="0" fontId="75" fillId="0" borderId="0" xfId="0" applyFont="1" applyFill="1" applyBorder="1" applyAlignment="1">
      <alignment/>
    </xf>
    <xf numFmtId="0" fontId="75" fillId="0" borderId="17" xfId="0" applyFont="1" applyFill="1" applyBorder="1" applyAlignment="1">
      <alignment horizontal="center"/>
    </xf>
    <xf numFmtId="0" fontId="209" fillId="0" borderId="17" xfId="0" applyFont="1" applyBorder="1" applyAlignment="1">
      <alignment horizontal="center"/>
    </xf>
    <xf numFmtId="0" fontId="134" fillId="0" borderId="0" xfId="0" applyFont="1" applyBorder="1" applyAlignment="1">
      <alignment/>
    </xf>
    <xf numFmtId="1" fontId="92" fillId="0" borderId="13" xfId="0" applyNumberFormat="1" applyFont="1" applyFill="1" applyBorder="1" applyAlignment="1">
      <alignment horizontal="center"/>
    </xf>
    <xf numFmtId="1" fontId="92" fillId="0" borderId="13" xfId="0" applyNumberFormat="1" applyFont="1" applyBorder="1" applyAlignment="1">
      <alignment horizontal="center"/>
    </xf>
    <xf numFmtId="1" fontId="336" fillId="0" borderId="13" xfId="0" applyNumberFormat="1" applyFont="1" applyBorder="1" applyAlignment="1">
      <alignment horizontal="center"/>
    </xf>
    <xf numFmtId="2" fontId="120" fillId="0" borderId="0" xfId="0" applyNumberFormat="1" applyFont="1" applyFill="1" applyBorder="1" applyAlignment="1">
      <alignment horizontal="center"/>
    </xf>
    <xf numFmtId="1" fontId="337" fillId="0" borderId="0" xfId="0" applyNumberFormat="1" applyFont="1" applyBorder="1" applyAlignment="1">
      <alignment horizontal="center"/>
    </xf>
    <xf numFmtId="0" fontId="81" fillId="0" borderId="0" xfId="0" applyFont="1" applyBorder="1" applyAlignment="1">
      <alignment horizontal="right"/>
    </xf>
    <xf numFmtId="1" fontId="92" fillId="0" borderId="10" xfId="0" applyNumberFormat="1" applyFont="1" applyFill="1" applyBorder="1" applyAlignment="1">
      <alignment horizontal="center"/>
    </xf>
    <xf numFmtId="1" fontId="92" fillId="0" borderId="0" xfId="0" applyNumberFormat="1" applyFont="1" applyBorder="1" applyAlignment="1">
      <alignment horizontal="center"/>
    </xf>
    <xf numFmtId="1" fontId="92" fillId="0" borderId="10" xfId="0" applyNumberFormat="1" applyFont="1" applyBorder="1" applyAlignment="1">
      <alignment horizontal="center"/>
    </xf>
    <xf numFmtId="1" fontId="336" fillId="0" borderId="10" xfId="0" applyNumberFormat="1" applyFont="1" applyBorder="1" applyAlignment="1">
      <alignment horizontal="center"/>
    </xf>
    <xf numFmtId="2" fontId="120" fillId="0" borderId="29" xfId="0" applyNumberFormat="1" applyFont="1" applyFill="1" applyBorder="1" applyAlignment="1">
      <alignment horizontal="center"/>
    </xf>
    <xf numFmtId="1" fontId="336" fillId="0" borderId="29" xfId="0" applyNumberFormat="1" applyFont="1" applyBorder="1" applyAlignment="1">
      <alignment horizontal="center"/>
    </xf>
    <xf numFmtId="0" fontId="91" fillId="0" borderId="0" xfId="0" applyFont="1" applyBorder="1" applyAlignment="1">
      <alignment/>
    </xf>
    <xf numFmtId="0" fontId="186" fillId="0" borderId="0" xfId="0" applyFont="1" applyBorder="1" applyAlignment="1">
      <alignment horizontal="center"/>
    </xf>
    <xf numFmtId="0" fontId="198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4" fontId="77" fillId="0" borderId="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9" fillId="0" borderId="10" xfId="0" applyFont="1" applyBorder="1" applyAlignment="1">
      <alignment/>
    </xf>
    <xf numFmtId="0" fontId="207" fillId="0" borderId="10" xfId="0" applyFont="1" applyBorder="1" applyAlignment="1">
      <alignment/>
    </xf>
    <xf numFmtId="0" fontId="212" fillId="0" borderId="10" xfId="0" applyFont="1" applyBorder="1" applyAlignment="1">
      <alignment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4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2" fontId="183" fillId="0" borderId="10" xfId="0" applyNumberFormat="1" applyFont="1" applyBorder="1" applyAlignment="1">
      <alignment horizontal="center"/>
    </xf>
    <xf numFmtId="0" fontId="102" fillId="0" borderId="17" xfId="0" applyFont="1" applyBorder="1" applyAlignment="1">
      <alignment horizontal="left" vertical="top" wrapText="1"/>
    </xf>
    <xf numFmtId="0" fontId="102" fillId="0" borderId="0" xfId="0" applyFont="1" applyBorder="1" applyAlignment="1">
      <alignment horizontal="left" vertical="top" wrapText="1"/>
    </xf>
    <xf numFmtId="49" fontId="43" fillId="0" borderId="27" xfId="0" applyNumberFormat="1" applyFont="1" applyBorder="1" applyAlignment="1">
      <alignment horizontal="center" vertical="top" wrapText="1"/>
    </xf>
    <xf numFmtId="49" fontId="43" fillId="0" borderId="27" xfId="0" applyNumberFormat="1" applyFont="1" applyFill="1" applyBorder="1" applyAlignment="1">
      <alignment horizontal="center" vertical="top" wrapText="1"/>
    </xf>
    <xf numFmtId="49" fontId="208" fillId="0" borderId="27" xfId="0" applyNumberFormat="1" applyFont="1" applyBorder="1" applyAlignment="1">
      <alignment horizontal="center" vertical="top" wrapText="1"/>
    </xf>
    <xf numFmtId="49" fontId="43" fillId="0" borderId="27" xfId="0" applyNumberFormat="1" applyFont="1" applyBorder="1" applyAlignment="1">
      <alignment horizontal="center"/>
    </xf>
    <xf numFmtId="49" fontId="43" fillId="0" borderId="21" xfId="0" applyNumberFormat="1" applyFont="1" applyBorder="1" applyAlignment="1">
      <alignment horizontal="center" vertical="top" wrapText="1"/>
    </xf>
    <xf numFmtId="0" fontId="75" fillId="0" borderId="21" xfId="0" applyFont="1" applyBorder="1" applyAlignment="1">
      <alignment/>
    </xf>
    <xf numFmtId="0" fontId="75" fillId="0" borderId="21" xfId="0" applyFont="1" applyBorder="1" applyAlignment="1">
      <alignment horizontal="center"/>
    </xf>
    <xf numFmtId="0" fontId="103" fillId="0" borderId="21" xfId="0" applyFont="1" applyBorder="1" applyAlignment="1">
      <alignment horizontal="center"/>
    </xf>
    <xf numFmtId="0" fontId="330" fillId="0" borderId="21" xfId="0" applyFont="1" applyBorder="1" applyAlignment="1">
      <alignment/>
    </xf>
    <xf numFmtId="0" fontId="285" fillId="0" borderId="21" xfId="0" applyFont="1" applyBorder="1" applyAlignment="1">
      <alignment horizontal="center"/>
    </xf>
    <xf numFmtId="1" fontId="93" fillId="0" borderId="21" xfId="0" applyNumberFormat="1" applyFont="1" applyBorder="1" applyAlignment="1">
      <alignment/>
    </xf>
    <xf numFmtId="1" fontId="95" fillId="0" borderId="21" xfId="0" applyNumberFormat="1" applyFont="1" applyBorder="1" applyAlignment="1">
      <alignment horizontal="center"/>
    </xf>
    <xf numFmtId="1" fontId="92" fillId="0" borderId="21" xfId="0" applyNumberFormat="1" applyFont="1" applyBorder="1" applyAlignment="1">
      <alignment horizontal="center"/>
    </xf>
    <xf numFmtId="2" fontId="120" fillId="0" borderId="21" xfId="0" applyNumberFormat="1" applyFont="1" applyBorder="1" applyAlignment="1">
      <alignment horizontal="center"/>
    </xf>
    <xf numFmtId="0" fontId="134" fillId="0" borderId="21" xfId="0" applyFont="1" applyBorder="1" applyAlignment="1">
      <alignment/>
    </xf>
    <xf numFmtId="0" fontId="75" fillId="0" borderId="13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20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6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3" fontId="289" fillId="0" borderId="11" xfId="0" applyNumberFormat="1" applyFont="1" applyBorder="1" applyAlignment="1">
      <alignment horizontal="center"/>
    </xf>
    <xf numFmtId="4" fontId="295" fillId="0" borderId="11" xfId="0" applyNumberFormat="1" applyFont="1" applyBorder="1" applyAlignment="1">
      <alignment horizontal="center"/>
    </xf>
    <xf numFmtId="0" fontId="338" fillId="0" borderId="0" xfId="0" applyFont="1" applyBorder="1" applyAlignment="1">
      <alignment vertical="center"/>
    </xf>
    <xf numFmtId="0" fontId="339" fillId="0" borderId="0" xfId="0" applyFont="1" applyBorder="1" applyAlignment="1">
      <alignment vertical="center"/>
    </xf>
    <xf numFmtId="0" fontId="340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0" fontId="341" fillId="0" borderId="0" xfId="0" applyFont="1" applyBorder="1" applyAlignment="1">
      <alignment/>
    </xf>
    <xf numFmtId="0" fontId="34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244" fillId="0" borderId="0" xfId="0" applyNumberFormat="1" applyFont="1" applyBorder="1" applyAlignment="1">
      <alignment horizontal="center" vertical="center"/>
    </xf>
    <xf numFmtId="3" fontId="244" fillId="0" borderId="1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4" fontId="294" fillId="0" borderId="10" xfId="0" applyNumberFormat="1" applyFont="1" applyBorder="1" applyAlignment="1">
      <alignment horizontal="center" vertical="center"/>
    </xf>
    <xf numFmtId="4" fontId="294" fillId="0" borderId="11" xfId="0" applyNumberFormat="1" applyFont="1" applyBorder="1" applyAlignment="1">
      <alignment horizontal="center"/>
    </xf>
    <xf numFmtId="4" fontId="295" fillId="0" borderId="0" xfId="0" applyNumberFormat="1" applyFont="1" applyBorder="1" applyAlignment="1">
      <alignment horizontal="center" vertical="center"/>
    </xf>
    <xf numFmtId="4" fontId="295" fillId="0" borderId="12" xfId="0" applyNumberFormat="1" applyFont="1" applyBorder="1" applyAlignment="1">
      <alignment horizontal="center"/>
    </xf>
    <xf numFmtId="0" fontId="344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3" fillId="0" borderId="20" xfId="0" applyFont="1" applyBorder="1" applyAlignment="1">
      <alignment horizontal="center"/>
    </xf>
    <xf numFmtId="0" fontId="122" fillId="0" borderId="0" xfId="0" applyFont="1" applyAlignment="1">
      <alignment/>
    </xf>
    <xf numFmtId="0" fontId="345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187" fillId="0" borderId="0" xfId="0" applyFont="1" applyBorder="1" applyAlignment="1">
      <alignment/>
    </xf>
    <xf numFmtId="0" fontId="187" fillId="0" borderId="0" xfId="0" applyFont="1" applyBorder="1" applyAlignment="1">
      <alignment horizontal="center"/>
    </xf>
    <xf numFmtId="0" fontId="187" fillId="0" borderId="0" xfId="0" applyFont="1" applyAlignment="1">
      <alignment/>
    </xf>
    <xf numFmtId="0" fontId="234" fillId="0" borderId="0" xfId="0" applyFont="1" applyBorder="1" applyAlignment="1">
      <alignment horizontal="center"/>
    </xf>
    <xf numFmtId="0" fontId="110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0" fontId="347" fillId="0" borderId="0" xfId="0" applyFont="1" applyBorder="1" applyAlignment="1">
      <alignment/>
    </xf>
    <xf numFmtId="0" fontId="123" fillId="0" borderId="0" xfId="0" applyFont="1" applyAlignment="1">
      <alignment horizontal="right"/>
    </xf>
    <xf numFmtId="0" fontId="190" fillId="0" borderId="12" xfId="0" applyFont="1" applyBorder="1" applyAlignment="1">
      <alignment/>
    </xf>
    <xf numFmtId="0" fontId="123" fillId="0" borderId="20" xfId="0" applyFont="1" applyBorder="1" applyAlignment="1">
      <alignment/>
    </xf>
    <xf numFmtId="0" fontId="123" fillId="0" borderId="15" xfId="0" applyFont="1" applyBorder="1" applyAlignment="1">
      <alignment/>
    </xf>
    <xf numFmtId="0" fontId="46" fillId="0" borderId="18" xfId="0" applyFont="1" applyBorder="1" applyAlignment="1">
      <alignment horizontal="center" wrapText="1"/>
    </xf>
    <xf numFmtId="0" fontId="123" fillId="0" borderId="13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123" fillId="0" borderId="14" xfId="0" applyFont="1" applyBorder="1" applyAlignment="1">
      <alignment wrapText="1"/>
    </xf>
    <xf numFmtId="0" fontId="123" fillId="0" borderId="11" xfId="0" applyFont="1" applyBorder="1" applyAlignment="1">
      <alignment horizontal="center"/>
    </xf>
    <xf numFmtId="0" fontId="348" fillId="0" borderId="20" xfId="0" applyFont="1" applyBorder="1" applyAlignment="1">
      <alignment horizontal="center"/>
    </xf>
    <xf numFmtId="0" fontId="348" fillId="0" borderId="20" xfId="0" applyFont="1" applyBorder="1" applyAlignment="1">
      <alignment/>
    </xf>
    <xf numFmtId="0" fontId="348" fillId="0" borderId="15" xfId="0" applyFont="1" applyBorder="1" applyAlignment="1">
      <alignment/>
    </xf>
    <xf numFmtId="0" fontId="348" fillId="0" borderId="15" xfId="0" applyFont="1" applyBorder="1" applyAlignment="1">
      <alignment horizontal="center"/>
    </xf>
    <xf numFmtId="0" fontId="348" fillId="0" borderId="18" xfId="0" applyFont="1" applyBorder="1" applyAlignment="1">
      <alignment horizontal="center"/>
    </xf>
    <xf numFmtId="0" fontId="348" fillId="0" borderId="13" xfId="0" applyFont="1" applyBorder="1" applyAlignment="1">
      <alignment horizontal="center"/>
    </xf>
    <xf numFmtId="0" fontId="348" fillId="0" borderId="13" xfId="0" applyFont="1" applyBorder="1" applyAlignment="1">
      <alignment/>
    </xf>
    <xf numFmtId="0" fontId="348" fillId="0" borderId="0" xfId="0" applyFont="1" applyBorder="1" applyAlignment="1">
      <alignment/>
    </xf>
    <xf numFmtId="0" fontId="348" fillId="0" borderId="0" xfId="0" applyFont="1" applyBorder="1" applyAlignment="1">
      <alignment horizontal="center"/>
    </xf>
    <xf numFmtId="0" fontId="348" fillId="0" borderId="10" xfId="0" applyFont="1" applyBorder="1" applyAlignment="1">
      <alignment horizontal="center"/>
    </xf>
    <xf numFmtId="0" fontId="348" fillId="0" borderId="14" xfId="0" applyFont="1" applyBorder="1" applyAlignment="1">
      <alignment wrapText="1"/>
    </xf>
    <xf numFmtId="0" fontId="348" fillId="0" borderId="14" xfId="0" applyFont="1" applyBorder="1" applyAlignment="1">
      <alignment/>
    </xf>
    <xf numFmtId="0" fontId="348" fillId="0" borderId="12" xfId="0" applyFont="1" applyBorder="1" applyAlignment="1">
      <alignment/>
    </xf>
    <xf numFmtId="0" fontId="348" fillId="0" borderId="11" xfId="0" applyFont="1" applyBorder="1" applyAlignment="1">
      <alignment horizontal="center"/>
    </xf>
    <xf numFmtId="0" fontId="348" fillId="0" borderId="14" xfId="0" applyFont="1" applyBorder="1" applyAlignment="1">
      <alignment horizontal="center"/>
    </xf>
    <xf numFmtId="0" fontId="349" fillId="0" borderId="13" xfId="0" applyFont="1" applyBorder="1" applyAlignment="1">
      <alignment/>
    </xf>
    <xf numFmtId="0" fontId="133" fillId="0" borderId="13" xfId="0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0" fontId="133" fillId="0" borderId="0" xfId="0" applyFont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0" fontId="350" fillId="0" borderId="13" xfId="0" applyFont="1" applyBorder="1" applyAlignment="1">
      <alignment/>
    </xf>
    <xf numFmtId="0" fontId="310" fillId="0" borderId="0" xfId="0" applyFont="1" applyBorder="1" applyAlignment="1">
      <alignment/>
    </xf>
    <xf numFmtId="0" fontId="75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3" fontId="74" fillId="0" borderId="14" xfId="0" applyNumberFormat="1" applyFont="1" applyBorder="1" applyAlignment="1">
      <alignment horizontal="center" vertical="center" wrapText="1"/>
    </xf>
    <xf numFmtId="4" fontId="74" fillId="0" borderId="11" xfId="0" applyNumberFormat="1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3" fontId="74" fillId="0" borderId="30" xfId="0" applyNumberFormat="1" applyFont="1" applyBorder="1" applyAlignment="1">
      <alignment horizontal="center" vertical="center" wrapText="1"/>
    </xf>
    <xf numFmtId="4" fontId="74" fillId="0" borderId="21" xfId="0" applyNumberFormat="1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/>
    </xf>
    <xf numFmtId="0" fontId="324" fillId="0" borderId="13" xfId="0" applyFont="1" applyBorder="1" applyAlignment="1">
      <alignment/>
    </xf>
    <xf numFmtId="3" fontId="74" fillId="0" borderId="13" xfId="0" applyNumberFormat="1" applyFont="1" applyBorder="1" applyAlignment="1">
      <alignment horizontal="center" wrapText="1"/>
    </xf>
    <xf numFmtId="4" fontId="74" fillId="0" borderId="10" xfId="0" applyNumberFormat="1" applyFont="1" applyBorder="1" applyAlignment="1">
      <alignment horizontal="center"/>
    </xf>
    <xf numFmtId="0" fontId="351" fillId="0" borderId="14" xfId="0" applyFont="1" applyBorder="1" applyAlignment="1">
      <alignment/>
    </xf>
    <xf numFmtId="0" fontId="351" fillId="0" borderId="12" xfId="0" applyFont="1" applyBorder="1" applyAlignment="1">
      <alignment/>
    </xf>
    <xf numFmtId="0" fontId="351" fillId="0" borderId="11" xfId="0" applyFont="1" applyBorder="1" applyAlignment="1">
      <alignment/>
    </xf>
    <xf numFmtId="0" fontId="351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Border="1" applyAlignment="1">
      <alignment/>
    </xf>
    <xf numFmtId="0" fontId="329" fillId="0" borderId="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108" fillId="0" borderId="0" xfId="0" applyFont="1" applyBorder="1" applyAlignment="1">
      <alignment/>
    </xf>
    <xf numFmtId="0" fontId="352" fillId="0" borderId="0" xfId="0" applyFont="1" applyBorder="1" applyAlignment="1">
      <alignment horizontal="center"/>
    </xf>
    <xf numFmtId="0" fontId="352" fillId="0" borderId="0" xfId="0" applyFont="1" applyAlignment="1">
      <alignment/>
    </xf>
    <xf numFmtId="0" fontId="353" fillId="0" borderId="0" xfId="0" applyFont="1" applyAlignment="1">
      <alignment/>
    </xf>
    <xf numFmtId="0" fontId="353" fillId="0" borderId="0" xfId="0" applyFont="1" applyBorder="1" applyAlignment="1">
      <alignment/>
    </xf>
    <xf numFmtId="0" fontId="354" fillId="0" borderId="0" xfId="0" applyFont="1" applyBorder="1" applyAlignment="1">
      <alignment horizontal="center"/>
    </xf>
    <xf numFmtId="0" fontId="354" fillId="0" borderId="0" xfId="0" applyFont="1" applyAlignment="1">
      <alignment/>
    </xf>
    <xf numFmtId="0" fontId="59" fillId="0" borderId="0" xfId="0" applyFont="1" applyAlignment="1">
      <alignment/>
    </xf>
    <xf numFmtId="0" fontId="234" fillId="0" borderId="0" xfId="0" applyFont="1" applyAlignment="1">
      <alignment horizontal="center" wrapText="1"/>
    </xf>
    <xf numFmtId="0" fontId="46" fillId="0" borderId="18" xfId="0" applyFont="1" applyBorder="1" applyAlignment="1">
      <alignment horizontal="center"/>
    </xf>
    <xf numFmtId="0" fontId="123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/>
    </xf>
    <xf numFmtId="0" fontId="123" fillId="0" borderId="13" xfId="0" applyFont="1" applyBorder="1" applyAlignment="1">
      <alignment horizontal="center" vertical="center"/>
    </xf>
    <xf numFmtId="14" fontId="77" fillId="0" borderId="16" xfId="0" applyNumberFormat="1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355" fillId="0" borderId="13" xfId="0" applyFont="1" applyBorder="1" applyAlignment="1">
      <alignment/>
    </xf>
    <xf numFmtId="0" fontId="356" fillId="0" borderId="0" xfId="0" applyFont="1" applyBorder="1" applyAlignment="1">
      <alignment/>
    </xf>
    <xf numFmtId="3" fontId="280" fillId="0" borderId="10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1" fontId="280" fillId="0" borderId="0" xfId="0" applyNumberFormat="1" applyFont="1" applyBorder="1" applyAlignment="1">
      <alignment horizontal="center"/>
    </xf>
    <xf numFmtId="0" fontId="340" fillId="0" borderId="13" xfId="0" applyFont="1" applyBorder="1" applyAlignment="1">
      <alignment/>
    </xf>
    <xf numFmtId="0" fontId="357" fillId="0" borderId="0" xfId="0" applyFont="1" applyBorder="1" applyAlignment="1">
      <alignment/>
    </xf>
    <xf numFmtId="0" fontId="123" fillId="0" borderId="14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287" fillId="0" borderId="0" xfId="0" applyFont="1" applyBorder="1" applyAlignment="1">
      <alignment/>
    </xf>
    <xf numFmtId="0" fontId="359" fillId="0" borderId="0" xfId="0" applyFont="1" applyBorder="1" applyAlignment="1">
      <alignment/>
    </xf>
    <xf numFmtId="0" fontId="359" fillId="0" borderId="0" xfId="0" applyFont="1" applyBorder="1" applyAlignment="1">
      <alignment horizontal="center"/>
    </xf>
    <xf numFmtId="0" fontId="359" fillId="0" borderId="17" xfId="0" applyFont="1" applyBorder="1" applyAlignment="1">
      <alignment horizontal="center"/>
    </xf>
    <xf numFmtId="0" fontId="287" fillId="0" borderId="0" xfId="0" applyFont="1" applyBorder="1" applyAlignment="1">
      <alignment wrapText="1"/>
    </xf>
    <xf numFmtId="0" fontId="359" fillId="0" borderId="0" xfId="0" applyFont="1" applyBorder="1" applyAlignment="1">
      <alignment wrapText="1"/>
    </xf>
    <xf numFmtId="0" fontId="359" fillId="0" borderId="0" xfId="0" applyFont="1" applyBorder="1" applyAlignment="1">
      <alignment horizontal="center" wrapText="1"/>
    </xf>
    <xf numFmtId="0" fontId="359" fillId="0" borderId="17" xfId="0" applyFont="1" applyBorder="1" applyAlignment="1">
      <alignment horizontal="center" wrapText="1"/>
    </xf>
    <xf numFmtId="0" fontId="287" fillId="0" borderId="13" xfId="0" applyFont="1" applyBorder="1" applyAlignment="1">
      <alignment/>
    </xf>
    <xf numFmtId="2" fontId="216" fillId="0" borderId="10" xfId="0" applyNumberFormat="1" applyFont="1" applyBorder="1" applyAlignment="1">
      <alignment horizontal="center" vertical="center"/>
    </xf>
    <xf numFmtId="0" fontId="287" fillId="0" borderId="10" xfId="0" applyFont="1" applyBorder="1" applyAlignment="1">
      <alignment/>
    </xf>
    <xf numFmtId="0" fontId="170" fillId="0" borderId="12" xfId="0" applyFont="1" applyBorder="1" applyAlignment="1">
      <alignment/>
    </xf>
    <xf numFmtId="14" fontId="190" fillId="0" borderId="12" xfId="0" applyNumberFormat="1" applyFont="1" applyBorder="1" applyAlignment="1">
      <alignment/>
    </xf>
    <xf numFmtId="3" fontId="361" fillId="0" borderId="17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 vertical="center"/>
    </xf>
    <xf numFmtId="3" fontId="190" fillId="0" borderId="10" xfId="0" applyNumberFormat="1" applyFont="1" applyBorder="1" applyAlignment="1">
      <alignment horizontal="center" vertical="center"/>
    </xf>
    <xf numFmtId="3" fontId="190" fillId="0" borderId="10" xfId="0" applyNumberFormat="1" applyFont="1" applyBorder="1" applyAlignment="1">
      <alignment horizontal="center"/>
    </xf>
    <xf numFmtId="0" fontId="190" fillId="0" borderId="13" xfId="0" applyFont="1" applyBorder="1" applyAlignment="1">
      <alignment horizontal="center" vertical="center" wrapText="1"/>
    </xf>
    <xf numFmtId="2" fontId="190" fillId="0" borderId="13" xfId="0" applyNumberFormat="1" applyFont="1" applyBorder="1" applyAlignment="1">
      <alignment horizontal="center" vertical="center"/>
    </xf>
    <xf numFmtId="0" fontId="173" fillId="0" borderId="17" xfId="0" applyFont="1" applyBorder="1" applyAlignment="1">
      <alignment horizontal="right"/>
    </xf>
    <xf numFmtId="0" fontId="60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" fontId="0" fillId="0" borderId="12" xfId="0" applyNumberFormat="1" applyBorder="1" applyAlignment="1">
      <alignment/>
    </xf>
    <xf numFmtId="1" fontId="122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2" fontId="330" fillId="0" borderId="13" xfId="0" applyNumberFormat="1" applyFont="1" applyBorder="1" applyAlignment="1">
      <alignment horizontal="center"/>
    </xf>
    <xf numFmtId="2" fontId="330" fillId="0" borderId="10" xfId="0" applyNumberFormat="1" applyFont="1" applyBorder="1" applyAlignment="1">
      <alignment horizontal="center"/>
    </xf>
    <xf numFmtId="2" fontId="329" fillId="0" borderId="13" xfId="0" applyNumberFormat="1" applyFont="1" applyBorder="1" applyAlignment="1">
      <alignment horizontal="center"/>
    </xf>
    <xf numFmtId="2" fontId="329" fillId="0" borderId="10" xfId="0" applyNumberFormat="1" applyFont="1" applyBorder="1" applyAlignment="1">
      <alignment horizontal="center"/>
    </xf>
    <xf numFmtId="2" fontId="93" fillId="0" borderId="17" xfId="0" applyNumberFormat="1" applyFont="1" applyBorder="1" applyAlignment="1">
      <alignment horizontal="center"/>
    </xf>
    <xf numFmtId="2" fontId="91" fillId="0" borderId="13" xfId="0" applyNumberFormat="1" applyFont="1" applyBorder="1" applyAlignment="1">
      <alignment horizontal="center"/>
    </xf>
    <xf numFmtId="2" fontId="91" fillId="0" borderId="10" xfId="0" applyNumberFormat="1" applyFont="1" applyBorder="1" applyAlignment="1">
      <alignment horizontal="center"/>
    </xf>
    <xf numFmtId="2" fontId="320" fillId="0" borderId="10" xfId="0" applyNumberFormat="1" applyFont="1" applyBorder="1" applyAlignment="1">
      <alignment horizontal="center"/>
    </xf>
    <xf numFmtId="2" fontId="330" fillId="0" borderId="0" xfId="0" applyNumberFormat="1" applyFont="1" applyBorder="1" applyAlignment="1">
      <alignment horizontal="center"/>
    </xf>
    <xf numFmtId="2" fontId="91" fillId="0" borderId="0" xfId="0" applyNumberFormat="1" applyFont="1" applyBorder="1" applyAlignment="1">
      <alignment horizontal="center"/>
    </xf>
    <xf numFmtId="2" fontId="95" fillId="0" borderId="0" xfId="0" applyNumberFormat="1" applyFont="1" applyBorder="1" applyAlignment="1">
      <alignment horizontal="center"/>
    </xf>
    <xf numFmtId="2" fontId="95" fillId="0" borderId="13" xfId="0" applyNumberFormat="1" applyFont="1" applyBorder="1" applyAlignment="1">
      <alignment horizontal="center"/>
    </xf>
    <xf numFmtId="2" fontId="91" fillId="0" borderId="21" xfId="0" applyNumberFormat="1" applyFont="1" applyBorder="1" applyAlignment="1">
      <alignment horizontal="center"/>
    </xf>
    <xf numFmtId="2" fontId="91" fillId="0" borderId="25" xfId="0" applyNumberFormat="1" applyFont="1" applyBorder="1" applyAlignment="1">
      <alignment horizontal="center"/>
    </xf>
    <xf numFmtId="2" fontId="93" fillId="0" borderId="21" xfId="0" applyNumberFormat="1" applyFont="1" applyBorder="1" applyAlignment="1">
      <alignment horizontal="center"/>
    </xf>
    <xf numFmtId="2" fontId="88" fillId="0" borderId="25" xfId="0" applyNumberFormat="1" applyFont="1" applyBorder="1" applyAlignment="1">
      <alignment horizontal="center"/>
    </xf>
    <xf numFmtId="2" fontId="88" fillId="0" borderId="30" xfId="0" applyNumberFormat="1" applyFont="1" applyBorder="1" applyAlignment="1">
      <alignment horizontal="center"/>
    </xf>
    <xf numFmtId="2" fontId="329" fillId="0" borderId="0" xfId="0" applyNumberFormat="1" applyFont="1" applyBorder="1" applyAlignment="1">
      <alignment horizontal="center"/>
    </xf>
    <xf numFmtId="2" fontId="119" fillId="0" borderId="13" xfId="0" applyNumberFormat="1" applyFont="1" applyBorder="1" applyAlignment="1">
      <alignment/>
    </xf>
    <xf numFmtId="2" fontId="320" fillId="0" borderId="0" xfId="0" applyNumberFormat="1" applyFont="1" applyBorder="1" applyAlignment="1">
      <alignment horizontal="center"/>
    </xf>
    <xf numFmtId="2" fontId="320" fillId="0" borderId="13" xfId="0" applyNumberFormat="1" applyFont="1" applyBorder="1" applyAlignment="1">
      <alignment horizontal="center"/>
    </xf>
    <xf numFmtId="2" fontId="330" fillId="0" borderId="11" xfId="0" applyNumberFormat="1" applyFont="1" applyBorder="1" applyAlignment="1">
      <alignment horizontal="center"/>
    </xf>
    <xf numFmtId="2" fontId="330" fillId="0" borderId="12" xfId="0" applyNumberFormat="1" applyFont="1" applyBorder="1" applyAlignment="1">
      <alignment horizontal="center"/>
    </xf>
    <xf numFmtId="2" fontId="93" fillId="0" borderId="11" xfId="0" applyNumberFormat="1" applyFont="1" applyBorder="1" applyAlignment="1">
      <alignment horizontal="center"/>
    </xf>
    <xf numFmtId="2" fontId="120" fillId="0" borderId="12" xfId="0" applyNumberFormat="1" applyFont="1" applyBorder="1" applyAlignment="1">
      <alignment horizontal="center"/>
    </xf>
    <xf numFmtId="2" fontId="91" fillId="0" borderId="15" xfId="0" applyNumberFormat="1" applyFont="1" applyBorder="1" applyAlignment="1">
      <alignment horizontal="center"/>
    </xf>
    <xf numFmtId="2" fontId="91" fillId="0" borderId="18" xfId="0" applyNumberFormat="1" applyFont="1" applyBorder="1" applyAlignment="1">
      <alignment/>
    </xf>
    <xf numFmtId="2" fontId="93" fillId="0" borderId="15" xfId="0" applyNumberFormat="1" applyFont="1" applyBorder="1" applyAlignment="1">
      <alignment horizontal="center"/>
    </xf>
    <xf numFmtId="2" fontId="91" fillId="0" borderId="11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/>
    </xf>
    <xf numFmtId="179" fontId="91" fillId="0" borderId="0" xfId="60" applyFont="1" applyBorder="1" applyAlignment="1">
      <alignment horizontal="center"/>
    </xf>
    <xf numFmtId="179" fontId="91" fillId="0" borderId="10" xfId="60" applyFont="1" applyBorder="1" applyAlignment="1">
      <alignment horizontal="center"/>
    </xf>
    <xf numFmtId="179" fontId="93" fillId="0" borderId="17" xfId="60" applyFont="1" applyBorder="1" applyAlignment="1">
      <alignment horizontal="center"/>
    </xf>
    <xf numFmtId="179" fontId="92" fillId="0" borderId="17" xfId="60" applyFont="1" applyBorder="1" applyAlignment="1">
      <alignment/>
    </xf>
    <xf numFmtId="179" fontId="285" fillId="0" borderId="17" xfId="60" applyFont="1" applyBorder="1" applyAlignment="1">
      <alignment horizontal="center"/>
    </xf>
    <xf numFmtId="179" fontId="91" fillId="0" borderId="17" xfId="60" applyFont="1" applyBorder="1" applyAlignment="1">
      <alignment/>
    </xf>
    <xf numFmtId="179" fontId="92" fillId="0" borderId="17" xfId="60" applyFont="1" applyBorder="1" applyAlignment="1">
      <alignment horizontal="center"/>
    </xf>
    <xf numFmtId="179" fontId="81" fillId="0" borderId="0" xfId="60" applyFont="1" applyBorder="1" applyAlignment="1">
      <alignment/>
    </xf>
    <xf numFmtId="179" fontId="81" fillId="0" borderId="10" xfId="60" applyFont="1" applyBorder="1" applyAlignment="1">
      <alignment/>
    </xf>
    <xf numFmtId="179" fontId="82" fillId="0" borderId="17" xfId="60" applyFont="1" applyBorder="1" applyAlignment="1">
      <alignment/>
    </xf>
    <xf numFmtId="179" fontId="95" fillId="0" borderId="17" xfId="60" applyFont="1" applyBorder="1" applyAlignment="1">
      <alignment/>
    </xf>
    <xf numFmtId="1" fontId="119" fillId="0" borderId="12" xfId="0" applyNumberFormat="1" applyFont="1" applyBorder="1" applyAlignment="1">
      <alignment horizontal="center"/>
    </xf>
    <xf numFmtId="0" fontId="136" fillId="0" borderId="12" xfId="0" applyFont="1" applyBorder="1" applyAlignment="1">
      <alignment horizontal="center"/>
    </xf>
    <xf numFmtId="1" fontId="81" fillId="0" borderId="0" xfId="0" applyNumberFormat="1" applyFont="1" applyAlignment="1">
      <alignment/>
    </xf>
    <xf numFmtId="1" fontId="136" fillId="0" borderId="12" xfId="0" applyNumberFormat="1" applyFont="1" applyBorder="1" applyAlignment="1">
      <alignment horizontal="right"/>
    </xf>
    <xf numFmtId="0" fontId="136" fillId="0" borderId="12" xfId="0" applyFont="1" applyBorder="1" applyAlignment="1">
      <alignment horizontal="left"/>
    </xf>
    <xf numFmtId="179" fontId="330" fillId="0" borderId="13" xfId="60" applyFont="1" applyBorder="1" applyAlignment="1">
      <alignment horizontal="center"/>
    </xf>
    <xf numFmtId="179" fontId="330" fillId="0" borderId="10" xfId="60" applyFont="1" applyBorder="1" applyAlignment="1">
      <alignment horizontal="center"/>
    </xf>
    <xf numFmtId="179" fontId="93" fillId="0" borderId="10" xfId="60" applyFont="1" applyBorder="1" applyAlignment="1">
      <alignment horizontal="center"/>
    </xf>
    <xf numFmtId="179" fontId="120" fillId="0" borderId="10" xfId="60" applyFont="1" applyBorder="1" applyAlignment="1">
      <alignment horizontal="center"/>
    </xf>
    <xf numFmtId="179" fontId="120" fillId="0" borderId="17" xfId="60" applyFont="1" applyBorder="1" applyAlignment="1">
      <alignment horizontal="center"/>
    </xf>
    <xf numFmtId="179" fontId="119" fillId="0" borderId="17" xfId="60" applyFont="1" applyBorder="1" applyAlignment="1">
      <alignment/>
    </xf>
    <xf numFmtId="179" fontId="329" fillId="0" borderId="13" xfId="60" applyFont="1" applyBorder="1" applyAlignment="1">
      <alignment horizontal="center"/>
    </xf>
    <xf numFmtId="179" fontId="329" fillId="0" borderId="10" xfId="60" applyFont="1" applyBorder="1" applyAlignment="1">
      <alignment horizontal="center"/>
    </xf>
    <xf numFmtId="179" fontId="319" fillId="0" borderId="10" xfId="60" applyFont="1" applyBorder="1" applyAlignment="1">
      <alignment horizontal="center"/>
    </xf>
    <xf numFmtId="179" fontId="319" fillId="0" borderId="17" xfId="60" applyFont="1" applyBorder="1" applyAlignment="1">
      <alignment horizontal="center"/>
    </xf>
    <xf numFmtId="179" fontId="320" fillId="0" borderId="10" xfId="60" applyFont="1" applyBorder="1" applyAlignment="1">
      <alignment horizontal="center"/>
    </xf>
    <xf numFmtId="179" fontId="329" fillId="0" borderId="0" xfId="60" applyFont="1" applyBorder="1" applyAlignment="1">
      <alignment horizontal="center"/>
    </xf>
    <xf numFmtId="179" fontId="319" fillId="0" borderId="0" xfId="60" applyFont="1" applyBorder="1" applyAlignment="1">
      <alignment horizontal="center"/>
    </xf>
    <xf numFmtId="179" fontId="64" fillId="0" borderId="10" xfId="60" applyFont="1" applyBorder="1" applyAlignment="1">
      <alignment horizontal="center"/>
    </xf>
    <xf numFmtId="179" fontId="64" fillId="0" borderId="0" xfId="60" applyFont="1" applyBorder="1" applyAlignment="1">
      <alignment horizontal="center"/>
    </xf>
    <xf numFmtId="179" fontId="104" fillId="0" borderId="10" xfId="60" applyFont="1" applyBorder="1" applyAlignment="1">
      <alignment horizontal="center"/>
    </xf>
    <xf numFmtId="179" fontId="120" fillId="0" borderId="0" xfId="60" applyFont="1" applyBorder="1" applyAlignment="1">
      <alignment horizontal="center"/>
    </xf>
    <xf numFmtId="179" fontId="330" fillId="0" borderId="0" xfId="60" applyFont="1" applyBorder="1" applyAlignment="1">
      <alignment horizontal="center"/>
    </xf>
    <xf numFmtId="179" fontId="119" fillId="0" borderId="10" xfId="60" applyFont="1" applyBorder="1" applyAlignment="1">
      <alignment/>
    </xf>
    <xf numFmtId="179" fontId="320" fillId="0" borderId="0" xfId="60" applyFont="1" applyBorder="1" applyAlignment="1">
      <alignment horizontal="center"/>
    </xf>
    <xf numFmtId="179" fontId="330" fillId="0" borderId="11" xfId="60" applyFont="1" applyBorder="1" applyAlignment="1">
      <alignment horizontal="center"/>
    </xf>
    <xf numFmtId="179" fontId="330" fillId="0" borderId="12" xfId="60" applyFont="1" applyBorder="1" applyAlignment="1">
      <alignment horizontal="center"/>
    </xf>
    <xf numFmtId="179" fontId="120" fillId="0" borderId="12" xfId="60" applyFont="1" applyBorder="1" applyAlignment="1">
      <alignment horizontal="center"/>
    </xf>
    <xf numFmtId="179" fontId="120" fillId="0" borderId="11" xfId="60" applyFont="1" applyBorder="1" applyAlignment="1">
      <alignment horizontal="center"/>
    </xf>
    <xf numFmtId="179" fontId="91" fillId="0" borderId="18" xfId="60" applyFont="1" applyBorder="1" applyAlignment="1">
      <alignment/>
    </xf>
    <xf numFmtId="179" fontId="93" fillId="0" borderId="15" xfId="60" applyFont="1" applyBorder="1" applyAlignment="1">
      <alignment horizontal="center"/>
    </xf>
    <xf numFmtId="179" fontId="120" fillId="0" borderId="18" xfId="60" applyFont="1" applyBorder="1" applyAlignment="1">
      <alignment horizontal="center"/>
    </xf>
    <xf numFmtId="179" fontId="119" fillId="0" borderId="19" xfId="60" applyFont="1" applyBorder="1" applyAlignment="1">
      <alignment/>
    </xf>
    <xf numFmtId="179" fontId="91" fillId="0" borderId="11" xfId="60" applyFont="1" applyBorder="1" applyAlignment="1">
      <alignment horizontal="center"/>
    </xf>
    <xf numFmtId="179" fontId="91" fillId="0" borderId="14" xfId="60" applyFont="1" applyBorder="1" applyAlignment="1">
      <alignment horizontal="center"/>
    </xf>
    <xf numFmtId="179" fontId="93" fillId="0" borderId="11" xfId="60" applyFont="1" applyBorder="1" applyAlignment="1">
      <alignment horizontal="center"/>
    </xf>
    <xf numFmtId="179" fontId="120" fillId="0" borderId="16" xfId="60" applyFont="1" applyBorder="1" applyAlignment="1">
      <alignment horizontal="center"/>
    </xf>
    <xf numFmtId="188" fontId="329" fillId="0" borderId="0" xfId="60" applyNumberFormat="1" applyFont="1" applyBorder="1" applyAlignment="1">
      <alignment horizontal="center"/>
    </xf>
    <xf numFmtId="188" fontId="330" fillId="0" borderId="0" xfId="60" applyNumberFormat="1" applyFont="1" applyBorder="1" applyAlignment="1">
      <alignment horizontal="center"/>
    </xf>
    <xf numFmtId="188" fontId="91" fillId="0" borderId="0" xfId="60" applyNumberFormat="1" applyFont="1" applyBorder="1" applyAlignment="1">
      <alignment horizontal="center"/>
    </xf>
    <xf numFmtId="188" fontId="329" fillId="0" borderId="10" xfId="60" applyNumberFormat="1" applyFont="1" applyBorder="1" applyAlignment="1">
      <alignment horizontal="center"/>
    </xf>
    <xf numFmtId="188" fontId="330" fillId="0" borderId="10" xfId="60" applyNumberFormat="1" applyFont="1" applyBorder="1" applyAlignment="1">
      <alignment horizontal="center"/>
    </xf>
    <xf numFmtId="188" fontId="91" fillId="0" borderId="10" xfId="60" applyNumberFormat="1" applyFont="1" applyBorder="1" applyAlignment="1">
      <alignment horizontal="center"/>
    </xf>
    <xf numFmtId="188" fontId="91" fillId="0" borderId="15" xfId="60" applyNumberFormat="1" applyFont="1" applyBorder="1" applyAlignment="1">
      <alignment horizontal="center"/>
    </xf>
    <xf numFmtId="179" fontId="329" fillId="0" borderId="0" xfId="60" applyNumberFormat="1" applyFont="1" applyBorder="1" applyAlignment="1">
      <alignment horizontal="center"/>
    </xf>
    <xf numFmtId="179" fontId="330" fillId="0" borderId="10" xfId="60" applyNumberFormat="1" applyFont="1" applyBorder="1" applyAlignment="1">
      <alignment horizontal="center"/>
    </xf>
    <xf numFmtId="179" fontId="329" fillId="0" borderId="10" xfId="60" applyNumberFormat="1" applyFont="1" applyBorder="1" applyAlignment="1">
      <alignment horizontal="center"/>
    </xf>
    <xf numFmtId="179" fontId="330" fillId="0" borderId="0" xfId="60" applyNumberFormat="1" applyFont="1" applyBorder="1" applyAlignment="1">
      <alignment horizontal="center"/>
    </xf>
    <xf numFmtId="179" fontId="91" fillId="0" borderId="0" xfId="60" applyFont="1" applyBorder="1" applyAlignment="1">
      <alignment/>
    </xf>
    <xf numFmtId="179" fontId="93" fillId="0" borderId="17" xfId="60" applyFont="1" applyBorder="1" applyAlignment="1">
      <alignment/>
    </xf>
    <xf numFmtId="179" fontId="120" fillId="0" borderId="10" xfId="60" applyFont="1" applyBorder="1" applyAlignment="1">
      <alignment/>
    </xf>
    <xf numFmtId="179" fontId="332" fillId="0" borderId="17" xfId="60" applyFont="1" applyBorder="1" applyAlignment="1">
      <alignment horizontal="center"/>
    </xf>
    <xf numFmtId="179" fontId="91" fillId="0" borderId="10" xfId="60" applyFont="1" applyBorder="1" applyAlignment="1">
      <alignment/>
    </xf>
    <xf numFmtId="179" fontId="120" fillId="0" borderId="17" xfId="60" applyFont="1" applyBorder="1" applyAlignment="1">
      <alignment/>
    </xf>
    <xf numFmtId="179" fontId="93" fillId="0" borderId="0" xfId="60" applyFont="1" applyBorder="1" applyAlignment="1">
      <alignment/>
    </xf>
    <xf numFmtId="179" fontId="64" fillId="0" borderId="12" xfId="60" applyFont="1" applyBorder="1" applyAlignment="1">
      <alignment/>
    </xf>
    <xf numFmtId="179" fontId="64" fillId="0" borderId="11" xfId="60" applyFont="1" applyBorder="1" applyAlignment="1">
      <alignment/>
    </xf>
    <xf numFmtId="179" fontId="104" fillId="0" borderId="16" xfId="60" applyFont="1" applyBorder="1" applyAlignment="1">
      <alignment/>
    </xf>
    <xf numFmtId="179" fontId="119" fillId="0" borderId="11" xfId="60" applyFont="1" applyBorder="1" applyAlignment="1">
      <alignment/>
    </xf>
    <xf numFmtId="179" fontId="119" fillId="0" borderId="16" xfId="60" applyFont="1" applyBorder="1" applyAlignment="1">
      <alignment/>
    </xf>
    <xf numFmtId="179" fontId="64" fillId="0" borderId="17" xfId="60" applyFont="1" applyBorder="1" applyAlignment="1">
      <alignment horizontal="center" vertical="center"/>
    </xf>
    <xf numFmtId="179" fontId="15" fillId="0" borderId="21" xfId="60" applyFont="1" applyBorder="1" applyAlignment="1">
      <alignment/>
    </xf>
    <xf numFmtId="179" fontId="104" fillId="0" borderId="17" xfId="60" applyFont="1" applyBorder="1" applyAlignment="1">
      <alignment horizontal="center" vertical="center"/>
    </xf>
    <xf numFmtId="179" fontId="106" fillId="0" borderId="17" xfId="60" applyFont="1" applyBorder="1" applyAlignment="1">
      <alignment horizontal="center" vertical="center"/>
    </xf>
    <xf numFmtId="179" fontId="64" fillId="0" borderId="17" xfId="60" applyFont="1" applyBorder="1" applyAlignment="1">
      <alignment horizontal="center"/>
    </xf>
    <xf numFmtId="179" fontId="106" fillId="0" borderId="17" xfId="60" applyFont="1" applyBorder="1" applyAlignment="1">
      <alignment horizontal="center"/>
    </xf>
    <xf numFmtId="179" fontId="104" fillId="0" borderId="17" xfId="60" applyFont="1" applyBorder="1" applyAlignment="1">
      <alignment horizontal="center"/>
    </xf>
    <xf numFmtId="179" fontId="64" fillId="0" borderId="17" xfId="60" applyFont="1" applyBorder="1" applyAlignment="1">
      <alignment/>
    </xf>
    <xf numFmtId="179" fontId="104" fillId="0" borderId="17" xfId="60" applyFont="1" applyBorder="1" applyAlignment="1">
      <alignment/>
    </xf>
    <xf numFmtId="179" fontId="92" fillId="0" borderId="17" xfId="60" applyFont="1" applyFill="1" applyBorder="1" applyAlignment="1">
      <alignment horizontal="center"/>
    </xf>
    <xf numFmtId="179" fontId="92" fillId="0" borderId="16" xfId="60" applyFont="1" applyBorder="1" applyAlignment="1">
      <alignment horizontal="center"/>
    </xf>
    <xf numFmtId="179" fontId="288" fillId="0" borderId="16" xfId="60" applyFont="1" applyBorder="1" applyAlignment="1">
      <alignment horizontal="center"/>
    </xf>
    <xf numFmtId="179" fontId="94" fillId="0" borderId="16" xfId="60" applyFont="1" applyBorder="1" applyAlignment="1">
      <alignment horizontal="center"/>
    </xf>
    <xf numFmtId="179" fontId="95" fillId="0" borderId="17" xfId="60" applyFont="1" applyBorder="1" applyAlignment="1">
      <alignment horizontal="center"/>
    </xf>
    <xf numFmtId="179" fontId="123" fillId="0" borderId="0" xfId="60" applyFont="1" applyBorder="1" applyAlignment="1">
      <alignment horizontal="center"/>
    </xf>
    <xf numFmtId="179" fontId="123" fillId="0" borderId="10" xfId="60" applyFont="1" applyBorder="1" applyAlignment="1">
      <alignment horizontal="center"/>
    </xf>
    <xf numFmtId="179" fontId="46" fillId="0" borderId="10" xfId="60" applyFont="1" applyBorder="1" applyAlignment="1">
      <alignment/>
    </xf>
    <xf numFmtId="179" fontId="283" fillId="0" borderId="13" xfId="60" applyFont="1" applyBorder="1" applyAlignment="1">
      <alignment horizontal="center" vertical="center"/>
    </xf>
    <xf numFmtId="179" fontId="283" fillId="0" borderId="10" xfId="60" applyFont="1" applyBorder="1" applyAlignment="1">
      <alignment horizontal="center" vertical="center"/>
    </xf>
    <xf numFmtId="179" fontId="74" fillId="0" borderId="10" xfId="60" applyFont="1" applyBorder="1" applyAlignment="1">
      <alignment horizontal="center" vertical="center"/>
    </xf>
    <xf numFmtId="179" fontId="283" fillId="0" borderId="13" xfId="60" applyFont="1" applyBorder="1" applyAlignment="1">
      <alignment horizontal="center"/>
    </xf>
    <xf numFmtId="179" fontId="283" fillId="0" borderId="10" xfId="60" applyFont="1" applyBorder="1" applyAlignment="1">
      <alignment horizontal="center"/>
    </xf>
    <xf numFmtId="179" fontId="75" fillId="0" borderId="10" xfId="60" applyFont="1" applyBorder="1" applyAlignment="1">
      <alignment/>
    </xf>
    <xf numFmtId="1" fontId="75" fillId="0" borderId="0" xfId="0" applyNumberFormat="1" applyFont="1" applyAlignment="1">
      <alignment horizontal="left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4" fontId="21" fillId="33" borderId="13" xfId="0" applyNumberFormat="1" applyFont="1" applyFill="1" applyBorder="1" applyAlignment="1">
      <alignment horizontal="center"/>
    </xf>
    <xf numFmtId="179" fontId="21" fillId="33" borderId="10" xfId="60" applyFont="1" applyFill="1" applyBorder="1" applyAlignment="1">
      <alignment horizontal="center"/>
    </xf>
    <xf numFmtId="179" fontId="3" fillId="33" borderId="13" xfId="60" applyFont="1" applyFill="1" applyBorder="1" applyAlignment="1">
      <alignment horizontal="center"/>
    </xf>
    <xf numFmtId="179" fontId="3" fillId="33" borderId="10" xfId="60" applyFont="1" applyFill="1" applyBorder="1" applyAlignment="1">
      <alignment horizontal="center"/>
    </xf>
    <xf numFmtId="179" fontId="45" fillId="33" borderId="0" xfId="60" applyFont="1" applyFill="1" applyBorder="1" applyAlignment="1">
      <alignment horizontal="center"/>
    </xf>
    <xf numFmtId="179" fontId="15" fillId="33" borderId="10" xfId="60" applyFont="1" applyFill="1" applyBorder="1" applyAlignment="1">
      <alignment horizontal="center"/>
    </xf>
    <xf numFmtId="179" fontId="8" fillId="33" borderId="10" xfId="60" applyFont="1" applyFill="1" applyBorder="1" applyAlignment="1">
      <alignment horizontal="center"/>
    </xf>
    <xf numFmtId="179" fontId="199" fillId="33" borderId="0" xfId="60" applyFont="1" applyFill="1" applyBorder="1" applyAlignment="1">
      <alignment horizontal="center"/>
    </xf>
    <xf numFmtId="179" fontId="205" fillId="33" borderId="10" xfId="60" applyFont="1" applyFill="1" applyBorder="1" applyAlignment="1">
      <alignment horizontal="center"/>
    </xf>
    <xf numFmtId="179" fontId="51" fillId="33" borderId="10" xfId="60" applyFont="1" applyFill="1" applyBorder="1" applyAlignment="1">
      <alignment horizontal="center"/>
    </xf>
    <xf numFmtId="179" fontId="3" fillId="33" borderId="11" xfId="60" applyFont="1" applyFill="1" applyBorder="1" applyAlignment="1">
      <alignment horizontal="center"/>
    </xf>
    <xf numFmtId="179" fontId="21" fillId="33" borderId="13" xfId="60" applyFont="1" applyFill="1" applyBorder="1" applyAlignment="1">
      <alignment horizontal="center"/>
    </xf>
    <xf numFmtId="179" fontId="187" fillId="33" borderId="0" xfId="60" applyFont="1" applyFill="1" applyBorder="1" applyAlignment="1">
      <alignment horizontal="center"/>
    </xf>
    <xf numFmtId="179" fontId="194" fillId="33" borderId="10" xfId="60" applyFont="1" applyFill="1" applyBorder="1" applyAlignment="1">
      <alignment horizontal="center"/>
    </xf>
    <xf numFmtId="179" fontId="21" fillId="33" borderId="11" xfId="60" applyFont="1" applyFill="1" applyBorder="1" applyAlignment="1">
      <alignment horizontal="center"/>
    </xf>
    <xf numFmtId="179" fontId="21" fillId="33" borderId="20" xfId="60" applyFont="1" applyFill="1" applyBorder="1" applyAlignment="1">
      <alignment horizontal="center"/>
    </xf>
    <xf numFmtId="179" fontId="21" fillId="33" borderId="18" xfId="60" applyFont="1" applyFill="1" applyBorder="1" applyAlignment="1">
      <alignment horizontal="center"/>
    </xf>
    <xf numFmtId="179" fontId="187" fillId="33" borderId="15" xfId="60" applyFont="1" applyFill="1" applyBorder="1" applyAlignment="1">
      <alignment horizontal="center"/>
    </xf>
    <xf numFmtId="179" fontId="194" fillId="33" borderId="18" xfId="60" applyFont="1" applyFill="1" applyBorder="1" applyAlignment="1">
      <alignment horizontal="center"/>
    </xf>
    <xf numFmtId="179" fontId="8" fillId="33" borderId="18" xfId="60" applyFont="1" applyFill="1" applyBorder="1" applyAlignment="1">
      <alignment horizontal="center"/>
    </xf>
    <xf numFmtId="179" fontId="205" fillId="33" borderId="21" xfId="60" applyFont="1" applyFill="1" applyBorder="1" applyAlignment="1">
      <alignment horizontal="center"/>
    </xf>
    <xf numFmtId="179" fontId="51" fillId="33" borderId="18" xfId="60" applyFont="1" applyFill="1" applyBorder="1" applyAlignment="1">
      <alignment horizontal="center"/>
    </xf>
    <xf numFmtId="179" fontId="45" fillId="33" borderId="15" xfId="60" applyFont="1" applyFill="1" applyBorder="1" applyAlignment="1">
      <alignment horizontal="center"/>
    </xf>
    <xf numFmtId="0" fontId="42" fillId="0" borderId="20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179" fontId="330" fillId="0" borderId="10" xfId="60" applyFont="1" applyFill="1" applyBorder="1" applyAlignment="1">
      <alignment/>
    </xf>
    <xf numFmtId="179" fontId="285" fillId="0" borderId="0" xfId="60" applyFont="1" applyFill="1" applyBorder="1" applyAlignment="1">
      <alignment horizontal="center"/>
    </xf>
    <xf numFmtId="179" fontId="93" fillId="0" borderId="10" xfId="60" applyFont="1" applyFill="1" applyBorder="1" applyAlignment="1">
      <alignment/>
    </xf>
    <xf numFmtId="179" fontId="92" fillId="0" borderId="13" xfId="60" applyFont="1" applyFill="1" applyBorder="1" applyAlignment="1">
      <alignment horizontal="center"/>
    </xf>
    <xf numFmtId="179" fontId="92" fillId="0" borderId="10" xfId="60" applyFont="1" applyFill="1" applyBorder="1" applyAlignment="1">
      <alignment horizontal="center"/>
    </xf>
    <xf numFmtId="179" fontId="330" fillId="0" borderId="10" xfId="60" applyFont="1" applyBorder="1" applyAlignment="1">
      <alignment/>
    </xf>
    <xf numFmtId="179" fontId="93" fillId="0" borderId="10" xfId="60" applyFont="1" applyBorder="1" applyAlignment="1">
      <alignment/>
    </xf>
    <xf numFmtId="179" fontId="92" fillId="0" borderId="13" xfId="60" applyFont="1" applyBorder="1" applyAlignment="1">
      <alignment horizontal="center"/>
    </xf>
    <xf numFmtId="179" fontId="92" fillId="0" borderId="10" xfId="60" applyFont="1" applyBorder="1" applyAlignment="1">
      <alignment horizontal="center"/>
    </xf>
    <xf numFmtId="179" fontId="285" fillId="0" borderId="0" xfId="60" applyFont="1" applyBorder="1" applyAlignment="1">
      <alignment horizontal="center"/>
    </xf>
    <xf numFmtId="179" fontId="329" fillId="0" borderId="10" xfId="60" applyFont="1" applyBorder="1" applyAlignment="1">
      <alignment/>
    </xf>
    <xf numFmtId="179" fontId="209" fillId="0" borderId="0" xfId="60" applyFont="1" applyBorder="1" applyAlignment="1">
      <alignment/>
    </xf>
    <xf numFmtId="179" fontId="336" fillId="0" borderId="13" xfId="60" applyFont="1" applyBorder="1" applyAlignment="1">
      <alignment horizontal="center"/>
    </xf>
    <xf numFmtId="179" fontId="336" fillId="0" borderId="10" xfId="60" applyFont="1" applyBorder="1" applyAlignment="1">
      <alignment horizontal="center"/>
    </xf>
    <xf numFmtId="179" fontId="283" fillId="0" borderId="0" xfId="60" applyFont="1" applyBorder="1" applyAlignment="1">
      <alignment horizontal="center"/>
    </xf>
    <xf numFmtId="179" fontId="93" fillId="33" borderId="10" xfId="60" applyFont="1" applyFill="1" applyBorder="1" applyAlignment="1">
      <alignment/>
    </xf>
    <xf numFmtId="179" fontId="95" fillId="0" borderId="13" xfId="60" applyFont="1" applyBorder="1" applyAlignment="1">
      <alignment horizontal="center"/>
    </xf>
    <xf numFmtId="179" fontId="330" fillId="0" borderId="29" xfId="60" applyFont="1" applyBorder="1" applyAlignment="1">
      <alignment/>
    </xf>
    <xf numFmtId="179" fontId="283" fillId="0" borderId="31" xfId="60" applyFont="1" applyBorder="1" applyAlignment="1">
      <alignment horizontal="center"/>
    </xf>
    <xf numFmtId="179" fontId="93" fillId="0" borderId="29" xfId="60" applyFont="1" applyBorder="1" applyAlignment="1">
      <alignment/>
    </xf>
    <xf numFmtId="179" fontId="166" fillId="0" borderId="32" xfId="60" applyFont="1" applyBorder="1" applyAlignment="1">
      <alignment horizontal="center"/>
    </xf>
    <xf numFmtId="179" fontId="336" fillId="0" borderId="29" xfId="60" applyFont="1" applyBorder="1" applyAlignment="1">
      <alignment horizontal="center"/>
    </xf>
    <xf numFmtId="0" fontId="362" fillId="0" borderId="0" xfId="0" applyFont="1" applyAlignment="1">
      <alignment/>
    </xf>
    <xf numFmtId="1" fontId="362" fillId="0" borderId="0" xfId="0" applyNumberFormat="1" applyFont="1" applyAlignment="1">
      <alignment horizontal="right"/>
    </xf>
    <xf numFmtId="1" fontId="362" fillId="0" borderId="0" xfId="0" applyNumberFormat="1" applyFont="1" applyAlignment="1">
      <alignment/>
    </xf>
    <xf numFmtId="0" fontId="362" fillId="0" borderId="0" xfId="0" applyFont="1" applyAlignment="1">
      <alignment/>
    </xf>
    <xf numFmtId="0" fontId="362" fillId="0" borderId="0" xfId="0" applyFont="1" applyAlignment="1">
      <alignment horizontal="right"/>
    </xf>
    <xf numFmtId="179" fontId="92" fillId="0" borderId="0" xfId="60" applyFont="1" applyFill="1" applyBorder="1" applyAlignment="1">
      <alignment horizontal="center"/>
    </xf>
    <xf numFmtId="179" fontId="92" fillId="0" borderId="0" xfId="60" applyFont="1" applyBorder="1" applyAlignment="1">
      <alignment horizontal="center"/>
    </xf>
    <xf numFmtId="179" fontId="336" fillId="0" borderId="0" xfId="60" applyFont="1" applyBorder="1" applyAlignment="1">
      <alignment horizontal="center"/>
    </xf>
    <xf numFmtId="179" fontId="329" fillId="0" borderId="29" xfId="60" applyFont="1" applyBorder="1" applyAlignment="1">
      <alignment/>
    </xf>
    <xf numFmtId="179" fontId="283" fillId="0" borderId="32" xfId="60" applyFont="1" applyBorder="1" applyAlignment="1">
      <alignment horizontal="center"/>
    </xf>
    <xf numFmtId="179" fontId="93" fillId="0" borderId="29" xfId="60" applyFont="1" applyFill="1" applyBorder="1" applyAlignment="1">
      <alignment/>
    </xf>
    <xf numFmtId="179" fontId="336" fillId="0" borderId="32" xfId="60" applyFont="1" applyBorder="1" applyAlignment="1">
      <alignment horizontal="center"/>
    </xf>
    <xf numFmtId="1" fontId="82" fillId="0" borderId="0" xfId="0" applyNumberFormat="1" applyFont="1" applyAlignment="1">
      <alignment/>
    </xf>
    <xf numFmtId="0" fontId="363" fillId="33" borderId="17" xfId="0" applyFont="1" applyFill="1" applyBorder="1" applyAlignment="1">
      <alignment horizontal="right"/>
    </xf>
    <xf numFmtId="2" fontId="64" fillId="0" borderId="17" xfId="0" applyNumberFormat="1" applyFont="1" applyBorder="1" applyAlignment="1">
      <alignment horizontal="center"/>
    </xf>
    <xf numFmtId="0" fontId="101" fillId="0" borderId="0" xfId="0" applyFont="1" applyBorder="1" applyAlignment="1">
      <alignment vertical="top" wrapText="1"/>
    </xf>
    <xf numFmtId="181" fontId="104" fillId="0" borderId="17" xfId="0" applyNumberFormat="1" applyFont="1" applyBorder="1" applyAlignment="1">
      <alignment horizontal="center"/>
    </xf>
    <xf numFmtId="2" fontId="81" fillId="0" borderId="17" xfId="0" applyNumberFormat="1" applyFont="1" applyFill="1" applyBorder="1" applyAlignment="1">
      <alignment horizontal="center"/>
    </xf>
    <xf numFmtId="2" fontId="81" fillId="0" borderId="16" xfId="0" applyNumberFormat="1" applyFont="1" applyBorder="1" applyAlignment="1">
      <alignment horizontal="center"/>
    </xf>
    <xf numFmtId="2" fontId="81" fillId="0" borderId="17" xfId="0" applyNumberFormat="1" applyFont="1" applyBorder="1" applyAlignment="1">
      <alignment horizontal="center"/>
    </xf>
    <xf numFmtId="2" fontId="106" fillId="0" borderId="17" xfId="0" applyNumberFormat="1" applyFont="1" applyBorder="1" applyAlignment="1">
      <alignment horizontal="center"/>
    </xf>
    <xf numFmtId="2" fontId="95" fillId="0" borderId="17" xfId="0" applyNumberFormat="1" applyFont="1" applyFill="1" applyBorder="1" applyAlignment="1">
      <alignment horizontal="center"/>
    </xf>
    <xf numFmtId="2" fontId="95" fillId="0" borderId="16" xfId="0" applyNumberFormat="1" applyFont="1" applyBorder="1" applyAlignment="1">
      <alignment horizontal="center"/>
    </xf>
    <xf numFmtId="2" fontId="95" fillId="0" borderId="17" xfId="0" applyNumberFormat="1" applyFont="1" applyBorder="1" applyAlignment="1">
      <alignment horizontal="center"/>
    </xf>
    <xf numFmtId="2" fontId="106" fillId="0" borderId="0" xfId="0" applyNumberFormat="1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2" fontId="95" fillId="0" borderId="0" xfId="0" applyNumberFormat="1" applyFont="1" applyFill="1" applyBorder="1" applyAlignment="1">
      <alignment horizontal="center"/>
    </xf>
    <xf numFmtId="0" fontId="95" fillId="0" borderId="17" xfId="0" applyFont="1" applyBorder="1" applyAlignment="1">
      <alignment horizontal="right"/>
    </xf>
    <xf numFmtId="179" fontId="285" fillId="0" borderId="17" xfId="60" applyFont="1" applyBorder="1" applyAlignment="1">
      <alignment/>
    </xf>
    <xf numFmtId="191" fontId="295" fillId="0" borderId="10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/>
    </xf>
    <xf numFmtId="2" fontId="15" fillId="0" borderId="21" xfId="0" applyNumberFormat="1" applyFont="1" applyBorder="1" applyAlignment="1">
      <alignment/>
    </xf>
    <xf numFmtId="191" fontId="298" fillId="0" borderId="10" xfId="0" applyNumberFormat="1" applyFont="1" applyBorder="1" applyAlignment="1">
      <alignment horizontal="center"/>
    </xf>
    <xf numFmtId="191" fontId="205" fillId="0" borderId="10" xfId="0" applyNumberFormat="1" applyFont="1" applyBorder="1" applyAlignment="1">
      <alignment horizontal="center"/>
    </xf>
    <xf numFmtId="191" fontId="294" fillId="0" borderId="17" xfId="0" applyNumberFormat="1" applyFont="1" applyBorder="1" applyAlignment="1">
      <alignment horizontal="center"/>
    </xf>
    <xf numFmtId="193" fontId="3" fillId="33" borderId="10" xfId="60" applyNumberFormat="1" applyFont="1" applyFill="1" applyBorder="1" applyAlignment="1">
      <alignment horizontal="center"/>
    </xf>
    <xf numFmtId="190" fontId="154" fillId="0" borderId="10" xfId="0" applyNumberFormat="1" applyFont="1" applyBorder="1" applyAlignment="1">
      <alignment/>
    </xf>
    <xf numFmtId="193" fontId="93" fillId="0" borderId="10" xfId="60" applyNumberFormat="1" applyFont="1" applyFill="1" applyBorder="1" applyAlignment="1">
      <alignment/>
    </xf>
    <xf numFmtId="2" fontId="59" fillId="0" borderId="10" xfId="0" applyNumberFormat="1" applyFont="1" applyBorder="1" applyAlignment="1">
      <alignment/>
    </xf>
    <xf numFmtId="180" fontId="212" fillId="0" borderId="10" xfId="0" applyNumberFormat="1" applyFont="1" applyBorder="1" applyAlignment="1">
      <alignment/>
    </xf>
    <xf numFmtId="4" fontId="190" fillId="0" borderId="11" xfId="0" applyNumberFormat="1" applyFont="1" applyBorder="1" applyAlignment="1">
      <alignment horizontal="center" vertical="center"/>
    </xf>
    <xf numFmtId="4" fontId="190" fillId="0" borderId="14" xfId="0" applyNumberFormat="1" applyFont="1" applyBorder="1" applyAlignment="1">
      <alignment horizontal="center" vertical="center" wrapText="1"/>
    </xf>
    <xf numFmtId="4" fontId="123" fillId="0" borderId="13" xfId="0" applyNumberFormat="1" applyFont="1" applyBorder="1" applyAlignment="1">
      <alignment horizontal="center"/>
    </xf>
    <xf numFmtId="4" fontId="190" fillId="0" borderId="10" xfId="0" applyNumberFormat="1" applyFont="1" applyBorder="1" applyAlignment="1">
      <alignment horizontal="center"/>
    </xf>
    <xf numFmtId="4" fontId="190" fillId="0" borderId="13" xfId="0" applyNumberFormat="1" applyFont="1" applyBorder="1" applyAlignment="1">
      <alignment horizontal="center" vertical="center" wrapText="1"/>
    </xf>
    <xf numFmtId="4" fontId="190" fillId="0" borderId="1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190" fillId="0" borderId="13" xfId="0" applyFont="1" applyBorder="1" applyAlignment="1">
      <alignment horizontal="center" vertical="center"/>
    </xf>
    <xf numFmtId="4" fontId="190" fillId="0" borderId="14" xfId="0" applyNumberFormat="1" applyFont="1" applyBorder="1" applyAlignment="1">
      <alignment horizontal="center" vertical="center"/>
    </xf>
    <xf numFmtId="2" fontId="190" fillId="0" borderId="0" xfId="0" applyNumberFormat="1" applyFont="1" applyBorder="1" applyAlignment="1">
      <alignment horizontal="center" vertical="center"/>
    </xf>
    <xf numFmtId="0" fontId="77" fillId="0" borderId="13" xfId="0" applyFont="1" applyBorder="1" applyAlignment="1">
      <alignment horizontal="center"/>
    </xf>
    <xf numFmtId="14" fontId="77" fillId="0" borderId="13" xfId="0" applyNumberFormat="1" applyFont="1" applyBorder="1" applyAlignment="1">
      <alignment horizontal="center"/>
    </xf>
    <xf numFmtId="0" fontId="186" fillId="0" borderId="13" xfId="0" applyFont="1" applyBorder="1" applyAlignment="1">
      <alignment horizontal="center"/>
    </xf>
    <xf numFmtId="4" fontId="190" fillId="0" borderId="13" xfId="0" applyNumberFormat="1" applyFont="1" applyBorder="1" applyAlignment="1">
      <alignment horizontal="center" vertical="center"/>
    </xf>
    <xf numFmtId="179" fontId="283" fillId="0" borderId="13" xfId="60" applyNumberFormat="1" applyFont="1" applyBorder="1" applyAlignment="1">
      <alignment horizontal="center" vertical="center"/>
    </xf>
    <xf numFmtId="2" fontId="33" fillId="33" borderId="10" xfId="0" applyNumberFormat="1" applyFont="1" applyFill="1" applyBorder="1" applyAlignment="1">
      <alignment horizontal="center"/>
    </xf>
    <xf numFmtId="180" fontId="33" fillId="33" borderId="18" xfId="0" applyNumberFormat="1" applyFont="1" applyFill="1" applyBorder="1" applyAlignment="1">
      <alignment horizontal="center"/>
    </xf>
    <xf numFmtId="0" fontId="92" fillId="0" borderId="19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217" fillId="33" borderId="21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 vertical="top"/>
    </xf>
    <xf numFmtId="0" fontId="64" fillId="33" borderId="19" xfId="0" applyFont="1" applyFill="1" applyBorder="1" applyAlignment="1">
      <alignment horizontal="center" vertical="top"/>
    </xf>
    <xf numFmtId="0" fontId="64" fillId="33" borderId="13" xfId="0" applyFont="1" applyFill="1" applyBorder="1" applyAlignment="1">
      <alignment horizontal="center" vertical="top"/>
    </xf>
    <xf numFmtId="0" fontId="64" fillId="33" borderId="17" xfId="0" applyFont="1" applyFill="1" applyBorder="1" applyAlignment="1">
      <alignment horizontal="center" vertical="top"/>
    </xf>
    <xf numFmtId="0" fontId="215" fillId="33" borderId="0" xfId="0" applyFont="1" applyFill="1" applyAlignment="1">
      <alignment horizontal="center"/>
    </xf>
    <xf numFmtId="0" fontId="216" fillId="33" borderId="0" xfId="0" applyFont="1" applyFill="1" applyAlignment="1">
      <alignment horizontal="center"/>
    </xf>
    <xf numFmtId="0" fontId="63" fillId="33" borderId="0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/>
    </xf>
    <xf numFmtId="0" fontId="64" fillId="33" borderId="17" xfId="0" applyFont="1" applyFill="1" applyBorder="1" applyAlignment="1">
      <alignment horizontal="center"/>
    </xf>
    <xf numFmtId="16" fontId="64" fillId="33" borderId="13" xfId="0" applyNumberFormat="1" applyFont="1" applyFill="1" applyBorder="1" applyAlignment="1">
      <alignment horizontal="center" vertical="top"/>
    </xf>
    <xf numFmtId="16" fontId="64" fillId="33" borderId="17" xfId="0" applyNumberFormat="1" applyFont="1" applyFill="1" applyBorder="1" applyAlignment="1">
      <alignment horizontal="center" vertical="top"/>
    </xf>
    <xf numFmtId="0" fontId="63" fillId="33" borderId="13" xfId="0" applyFont="1" applyFill="1" applyBorder="1" applyAlignment="1">
      <alignment horizontal="center"/>
    </xf>
    <xf numFmtId="0" fontId="63" fillId="33" borderId="17" xfId="0" applyFont="1" applyFill="1" applyBorder="1" applyAlignment="1">
      <alignment horizontal="center"/>
    </xf>
    <xf numFmtId="0" fontId="217" fillId="33" borderId="13" xfId="0" applyFont="1" applyFill="1" applyBorder="1" applyAlignment="1">
      <alignment horizontal="center"/>
    </xf>
    <xf numFmtId="0" fontId="217" fillId="33" borderId="17" xfId="0" applyFont="1" applyFill="1" applyBorder="1" applyAlignment="1">
      <alignment horizontal="center"/>
    </xf>
    <xf numFmtId="0" fontId="63" fillId="33" borderId="30" xfId="0" applyFont="1" applyFill="1" applyBorder="1" applyAlignment="1">
      <alignment horizontal="center"/>
    </xf>
    <xf numFmtId="0" fontId="63" fillId="33" borderId="33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63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210" fillId="33" borderId="0" xfId="0" applyFont="1" applyFill="1" applyAlignment="1">
      <alignment horizontal="center"/>
    </xf>
    <xf numFmtId="2" fontId="51" fillId="33" borderId="18" xfId="0" applyNumberFormat="1" applyFont="1" applyFill="1" applyBorder="1" applyAlignment="1">
      <alignment horizontal="center"/>
    </xf>
    <xf numFmtId="2" fontId="264" fillId="0" borderId="11" xfId="0" applyNumberFormat="1" applyFont="1" applyBorder="1" applyAlignment="1">
      <alignment horizontal="center"/>
    </xf>
    <xf numFmtId="0" fontId="224" fillId="33" borderId="0" xfId="0" applyFont="1" applyFill="1" applyAlignment="1">
      <alignment horizontal="center"/>
    </xf>
    <xf numFmtId="0" fontId="2" fillId="33" borderId="20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68" fillId="33" borderId="13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2" fillId="0" borderId="21" xfId="0" applyFont="1" applyBorder="1" applyAlignment="1">
      <alignment horizontal="center" vertical="center" wrapText="1"/>
    </xf>
    <xf numFmtId="0" fontId="51" fillId="33" borderId="0" xfId="0" applyFont="1" applyFill="1" applyAlignment="1">
      <alignment horizontal="center"/>
    </xf>
    <xf numFmtId="0" fontId="63" fillId="33" borderId="13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195" fillId="0" borderId="2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top" wrapText="1"/>
    </xf>
    <xf numFmtId="0" fontId="91" fillId="33" borderId="13" xfId="0" applyFont="1" applyFill="1" applyBorder="1" applyAlignment="1">
      <alignment horizontal="center" vertical="top"/>
    </xf>
    <xf numFmtId="0" fontId="91" fillId="33" borderId="17" xfId="0" applyFont="1" applyFill="1" applyBorder="1" applyAlignment="1">
      <alignment horizontal="center" vertical="top"/>
    </xf>
    <xf numFmtId="16" fontId="2" fillId="33" borderId="13" xfId="0" applyNumberFormat="1" applyFont="1" applyFill="1" applyBorder="1" applyAlignment="1">
      <alignment horizontal="center" vertical="top"/>
    </xf>
    <xf numFmtId="16" fontId="2" fillId="33" borderId="17" xfId="0" applyNumberFormat="1" applyFont="1" applyFill="1" applyBorder="1" applyAlignment="1">
      <alignment horizontal="center" vertical="top"/>
    </xf>
    <xf numFmtId="0" fontId="4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33" borderId="14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91" fillId="33" borderId="13" xfId="0" applyFont="1" applyFill="1" applyBorder="1" applyAlignment="1">
      <alignment horizontal="center"/>
    </xf>
    <xf numFmtId="0" fontId="91" fillId="33" borderId="17" xfId="0" applyFont="1" applyFill="1" applyBorder="1" applyAlignment="1">
      <alignment horizontal="center"/>
    </xf>
    <xf numFmtId="0" fontId="223" fillId="33" borderId="21" xfId="0" applyFont="1" applyFill="1" applyBorder="1" applyAlignment="1">
      <alignment horizontal="center"/>
    </xf>
    <xf numFmtId="0" fontId="91" fillId="33" borderId="20" xfId="0" applyFont="1" applyFill="1" applyBorder="1" applyAlignment="1">
      <alignment horizontal="center" vertical="top"/>
    </xf>
    <xf numFmtId="0" fontId="91" fillId="33" borderId="19" xfId="0" applyFont="1" applyFill="1" applyBorder="1" applyAlignment="1">
      <alignment horizontal="center" vertical="top"/>
    </xf>
    <xf numFmtId="16" fontId="91" fillId="33" borderId="13" xfId="0" applyNumberFormat="1" applyFont="1" applyFill="1" applyBorder="1" applyAlignment="1">
      <alignment horizontal="center" vertical="top"/>
    </xf>
    <xf numFmtId="16" fontId="91" fillId="33" borderId="17" xfId="0" applyNumberFormat="1" applyFont="1" applyFill="1" applyBorder="1" applyAlignment="1">
      <alignment horizontal="center" vertical="top"/>
    </xf>
    <xf numFmtId="0" fontId="62" fillId="33" borderId="0" xfId="0" applyFont="1" applyFill="1" applyAlignment="1">
      <alignment horizontal="center"/>
    </xf>
    <xf numFmtId="0" fontId="68" fillId="33" borderId="2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11" fillId="0" borderId="0" xfId="0" applyFont="1" applyBorder="1" applyAlignment="1">
      <alignment horizontal="left" vertical="top" wrapText="1"/>
    </xf>
    <xf numFmtId="0" fontId="199" fillId="0" borderId="0" xfId="0" applyFont="1" applyBorder="1" applyAlignment="1">
      <alignment horizontal="left" vertical="top" wrapText="1"/>
    </xf>
    <xf numFmtId="0" fontId="158" fillId="0" borderId="0" xfId="0" applyFont="1" applyBorder="1" applyAlignment="1">
      <alignment horizontal="left" vertical="top" wrapText="1"/>
    </xf>
    <xf numFmtId="0" fontId="200" fillId="0" borderId="0" xfId="0" applyFont="1" applyBorder="1" applyAlignment="1">
      <alignment horizontal="left" vertical="top" wrapText="1"/>
    </xf>
    <xf numFmtId="0" fontId="19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9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11" fillId="0" borderId="0" xfId="0" applyFont="1" applyBorder="1" applyAlignment="1">
      <alignment vertical="top" wrapText="1"/>
    </xf>
    <xf numFmtId="0" fontId="311" fillId="0" borderId="17" xfId="0" applyFont="1" applyBorder="1" applyAlignment="1">
      <alignment vertical="top" wrapText="1"/>
    </xf>
    <xf numFmtId="0" fontId="236" fillId="0" borderId="13" xfId="0" applyFont="1" applyBorder="1" applyAlignment="1">
      <alignment horizontal="center"/>
    </xf>
    <xf numFmtId="0" fontId="236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306" fillId="0" borderId="0" xfId="0" applyFont="1" applyBorder="1" applyAlignment="1">
      <alignment horizontal="justify" wrapText="1"/>
    </xf>
    <xf numFmtId="0" fontId="91" fillId="33" borderId="0" xfId="0" applyFont="1" applyFill="1" applyBorder="1" applyAlignment="1">
      <alignment horizontal="center"/>
    </xf>
    <xf numFmtId="1" fontId="8" fillId="33" borderId="18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23" fillId="33" borderId="13" xfId="0" applyFont="1" applyFill="1" applyBorder="1" applyAlignment="1">
      <alignment horizontal="center"/>
    </xf>
    <xf numFmtId="0" fontId="223" fillId="33" borderId="17" xfId="0" applyFont="1" applyFill="1" applyBorder="1" applyAlignment="1">
      <alignment horizontal="center"/>
    </xf>
    <xf numFmtId="0" fontId="91" fillId="33" borderId="30" xfId="0" applyFont="1" applyFill="1" applyBorder="1" applyAlignment="1">
      <alignment horizontal="center"/>
    </xf>
    <xf numFmtId="0" fontId="91" fillId="33" borderId="33" xfId="0" applyFont="1" applyFill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6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7" fillId="0" borderId="19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7" fillId="0" borderId="17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3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103" fillId="0" borderId="18" xfId="0" applyFont="1" applyBorder="1" applyAlignment="1">
      <alignment horizontal="center" wrapText="1"/>
    </xf>
    <xf numFmtId="0" fontId="103" fillId="0" borderId="10" xfId="0" applyFont="1" applyBorder="1" applyAlignment="1">
      <alignment horizontal="center" wrapText="1"/>
    </xf>
    <xf numFmtId="0" fontId="103" fillId="0" borderId="11" xfId="0" applyFont="1" applyBorder="1" applyAlignment="1">
      <alignment horizontal="center" wrapText="1"/>
    </xf>
    <xf numFmtId="0" fontId="63" fillId="0" borderId="20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119" fillId="0" borderId="13" xfId="0" applyFont="1" applyBorder="1" applyAlignment="1">
      <alignment horizontal="left" vertical="top" wrapText="1"/>
    </xf>
    <xf numFmtId="0" fontId="119" fillId="0" borderId="0" xfId="0" applyFont="1" applyBorder="1" applyAlignment="1">
      <alignment horizontal="left" vertical="top" wrapText="1"/>
    </xf>
    <xf numFmtId="0" fontId="119" fillId="0" borderId="17" xfId="0" applyFont="1" applyBorder="1" applyAlignment="1">
      <alignment horizontal="left" vertical="top" wrapText="1"/>
    </xf>
    <xf numFmtId="0" fontId="281" fillId="0" borderId="13" xfId="0" applyFont="1" applyBorder="1" applyAlignment="1">
      <alignment horizontal="left" vertical="top" wrapText="1"/>
    </xf>
    <xf numFmtId="0" fontId="204" fillId="0" borderId="0" xfId="0" applyFont="1" applyBorder="1" applyAlignment="1">
      <alignment/>
    </xf>
    <xf numFmtId="0" fontId="204" fillId="0" borderId="17" xfId="0" applyFont="1" applyBorder="1" applyAlignment="1">
      <alignment/>
    </xf>
    <xf numFmtId="0" fontId="204" fillId="0" borderId="13" xfId="0" applyFont="1" applyBorder="1" applyAlignment="1">
      <alignment/>
    </xf>
    <xf numFmtId="0" fontId="81" fillId="0" borderId="13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81" fillId="0" borderId="17" xfId="0" applyFont="1" applyBorder="1" applyAlignment="1">
      <alignment horizontal="left" vertical="top" wrapText="1"/>
    </xf>
    <xf numFmtId="0" fontId="103" fillId="0" borderId="18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320" fillId="0" borderId="0" xfId="0" applyFont="1" applyBorder="1" applyAlignment="1">
      <alignment horizontal="right" vertical="top" wrapText="1"/>
    </xf>
    <xf numFmtId="0" fontId="120" fillId="0" borderId="0" xfId="0" applyFont="1" applyBorder="1" applyAlignment="1">
      <alignment horizontal="right" vertical="top" wrapText="1"/>
    </xf>
    <xf numFmtId="0" fontId="310" fillId="0" borderId="13" xfId="0" applyFont="1" applyBorder="1" applyAlignment="1">
      <alignment horizontal="left"/>
    </xf>
    <xf numFmtId="0" fontId="161" fillId="0" borderId="0" xfId="0" applyFont="1" applyBorder="1" applyAlignment="1">
      <alignment horizontal="center"/>
    </xf>
    <xf numFmtId="0" fontId="81" fillId="0" borderId="0" xfId="0" applyFont="1" applyBorder="1" applyAlignment="1">
      <alignment horizontal="left"/>
    </xf>
    <xf numFmtId="180" fontId="119" fillId="0" borderId="13" xfId="0" applyNumberFormat="1" applyFont="1" applyBorder="1" applyAlignment="1">
      <alignment horizontal="left" vertical="top" wrapText="1"/>
    </xf>
    <xf numFmtId="0" fontId="328" fillId="0" borderId="14" xfId="0" applyFont="1" applyBorder="1" applyAlignment="1">
      <alignment horizontal="left" wrapText="1"/>
    </xf>
    <xf numFmtId="0" fontId="328" fillId="0" borderId="12" xfId="0" applyFont="1" applyBorder="1" applyAlignment="1">
      <alignment horizontal="left" wrapText="1"/>
    </xf>
    <xf numFmtId="1" fontId="88" fillId="0" borderId="30" xfId="0" applyNumberFormat="1" applyFont="1" applyBorder="1" applyAlignment="1">
      <alignment horizontal="center"/>
    </xf>
    <xf numFmtId="1" fontId="88" fillId="0" borderId="25" xfId="0" applyNumberFormat="1" applyFont="1" applyBorder="1" applyAlignment="1">
      <alignment horizontal="center"/>
    </xf>
    <xf numFmtId="1" fontId="88" fillId="0" borderId="33" xfId="0" applyNumberFormat="1" applyFont="1" applyBorder="1" applyAlignment="1">
      <alignment horizontal="center"/>
    </xf>
    <xf numFmtId="0" fontId="321" fillId="0" borderId="0" xfId="0" applyFont="1" applyBorder="1" applyAlignment="1">
      <alignment horizontal="right" vertical="top" wrapText="1"/>
    </xf>
    <xf numFmtId="0" fontId="321" fillId="0" borderId="17" xfId="0" applyFont="1" applyBorder="1" applyAlignment="1">
      <alignment horizontal="right" vertical="top" wrapText="1"/>
    </xf>
    <xf numFmtId="0" fontId="323" fillId="0" borderId="0" xfId="0" applyFont="1" applyBorder="1" applyAlignment="1">
      <alignment horizontal="right" vertical="top" wrapText="1"/>
    </xf>
    <xf numFmtId="0" fontId="323" fillId="0" borderId="17" xfId="0" applyFont="1" applyBorder="1" applyAlignment="1">
      <alignment horizontal="right" vertical="top" wrapText="1"/>
    </xf>
    <xf numFmtId="0" fontId="81" fillId="0" borderId="0" xfId="0" applyFont="1" applyBorder="1" applyAlignment="1">
      <alignment/>
    </xf>
    <xf numFmtId="0" fontId="321" fillId="0" borderId="13" xfId="0" applyFont="1" applyBorder="1" applyAlignment="1">
      <alignment horizontal="left"/>
    </xf>
    <xf numFmtId="0" fontId="204" fillId="0" borderId="14" xfId="0" applyFont="1" applyBorder="1" applyAlignment="1">
      <alignment/>
    </xf>
    <xf numFmtId="0" fontId="204" fillId="0" borderId="12" xfId="0" applyFont="1" applyBorder="1" applyAlignment="1">
      <alignment/>
    </xf>
    <xf numFmtId="0" fontId="204" fillId="0" borderId="16" xfId="0" applyFont="1" applyBorder="1" applyAlignment="1">
      <alignment/>
    </xf>
    <xf numFmtId="0" fontId="120" fillId="0" borderId="13" xfId="0" applyFont="1" applyBorder="1" applyAlignment="1">
      <alignment horizontal="left" vertical="top" wrapText="1"/>
    </xf>
    <xf numFmtId="0" fontId="95" fillId="0" borderId="12" xfId="0" applyFont="1" applyBorder="1" applyAlignment="1">
      <alignment horizontal="right" vertical="top" wrapText="1"/>
    </xf>
    <xf numFmtId="0" fontId="119" fillId="33" borderId="13" xfId="0" applyFont="1" applyFill="1" applyBorder="1" applyAlignment="1">
      <alignment horizontal="left" vertical="top" wrapText="1"/>
    </xf>
    <xf numFmtId="0" fontId="204" fillId="33" borderId="0" xfId="0" applyFont="1" applyFill="1" applyBorder="1" applyAlignment="1">
      <alignment/>
    </xf>
    <xf numFmtId="0" fontId="204" fillId="33" borderId="17" xfId="0" applyFont="1" applyFill="1" applyBorder="1" applyAlignment="1">
      <alignment/>
    </xf>
    <xf numFmtId="0" fontId="204" fillId="33" borderId="13" xfId="0" applyFont="1" applyFill="1" applyBorder="1" applyAlignment="1">
      <alignment/>
    </xf>
    <xf numFmtId="0" fontId="63" fillId="0" borderId="12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95" fillId="0" borderId="0" xfId="0" applyFont="1" applyBorder="1" applyAlignment="1">
      <alignment horizontal="right" vertical="top" wrapText="1"/>
    </xf>
    <xf numFmtId="0" fontId="95" fillId="0" borderId="17" xfId="0" applyFont="1" applyBorder="1" applyAlignment="1">
      <alignment horizontal="right" vertical="top" wrapText="1"/>
    </xf>
    <xf numFmtId="0" fontId="120" fillId="0" borderId="0" xfId="0" applyFont="1" applyBorder="1" applyAlignment="1">
      <alignment horizontal="right"/>
    </xf>
    <xf numFmtId="0" fontId="120" fillId="0" borderId="17" xfId="0" applyFont="1" applyBorder="1" applyAlignment="1">
      <alignment horizontal="right"/>
    </xf>
    <xf numFmtId="0" fontId="92" fillId="0" borderId="20" xfId="0" applyFont="1" applyBorder="1" applyAlignment="1">
      <alignment horizontal="center"/>
    </xf>
    <xf numFmtId="0" fontId="92" fillId="0" borderId="15" xfId="0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119" fillId="0" borderId="17" xfId="0" applyFont="1" applyBorder="1" applyAlignment="1">
      <alignment horizontal="right" vertical="top" wrapText="1"/>
    </xf>
    <xf numFmtId="0" fontId="144" fillId="0" borderId="18" xfId="0" applyFont="1" applyBorder="1" applyAlignment="1">
      <alignment horizontal="center" vertical="top" wrapText="1"/>
    </xf>
    <xf numFmtId="0" fontId="144" fillId="0" borderId="10" xfId="0" applyFont="1" applyBorder="1" applyAlignment="1">
      <alignment horizontal="center" vertical="top" wrapText="1"/>
    </xf>
    <xf numFmtId="0" fontId="135" fillId="0" borderId="18" xfId="0" applyFont="1" applyBorder="1" applyAlignment="1">
      <alignment horizontal="center" vertical="center" wrapText="1"/>
    </xf>
    <xf numFmtId="0" fontId="135" fillId="0" borderId="10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/>
    </xf>
    <xf numFmtId="0" fontId="130" fillId="0" borderId="19" xfId="0" applyFont="1" applyBorder="1" applyAlignment="1">
      <alignment horizontal="center"/>
    </xf>
    <xf numFmtId="0" fontId="130" fillId="0" borderId="12" xfId="0" applyFont="1" applyBorder="1" applyAlignment="1">
      <alignment horizontal="center"/>
    </xf>
    <xf numFmtId="0" fontId="130" fillId="0" borderId="16" xfId="0" applyFont="1" applyBorder="1" applyAlignment="1">
      <alignment horizontal="center"/>
    </xf>
    <xf numFmtId="0" fontId="130" fillId="0" borderId="0" xfId="0" applyFont="1" applyBorder="1" applyAlignment="1">
      <alignment horizontal="center"/>
    </xf>
    <xf numFmtId="0" fontId="130" fillId="0" borderId="17" xfId="0" applyFont="1" applyBorder="1" applyAlignment="1">
      <alignment horizontal="center"/>
    </xf>
    <xf numFmtId="0" fontId="122" fillId="0" borderId="18" xfId="0" applyFont="1" applyBorder="1" applyAlignment="1">
      <alignment horizontal="center" vertical="top" wrapText="1"/>
    </xf>
    <xf numFmtId="0" fontId="122" fillId="0" borderId="10" xfId="0" applyFont="1" applyBorder="1" applyAlignment="1">
      <alignment horizontal="center" vertical="top" wrapText="1"/>
    </xf>
    <xf numFmtId="0" fontId="122" fillId="0" borderId="14" xfId="0" applyFont="1" applyBorder="1" applyAlignment="1">
      <alignment horizontal="center"/>
    </xf>
    <xf numFmtId="0" fontId="122" fillId="0" borderId="16" xfId="0" applyFont="1" applyBorder="1" applyAlignment="1">
      <alignment horizontal="center"/>
    </xf>
    <xf numFmtId="0" fontId="131" fillId="0" borderId="18" xfId="0" applyFont="1" applyBorder="1" applyAlignment="1">
      <alignment horizontal="center" vertical="top" wrapText="1"/>
    </xf>
    <xf numFmtId="0" fontId="131" fillId="0" borderId="10" xfId="0" applyFont="1" applyBorder="1" applyAlignment="1">
      <alignment horizontal="center" vertical="top" wrapText="1"/>
    </xf>
    <xf numFmtId="0" fontId="123" fillId="0" borderId="20" xfId="0" applyFont="1" applyBorder="1" applyAlignment="1">
      <alignment horizontal="center"/>
    </xf>
    <xf numFmtId="0" fontId="123" fillId="0" borderId="19" xfId="0" applyFont="1" applyBorder="1" applyAlignment="1">
      <alignment horizontal="center"/>
    </xf>
    <xf numFmtId="0" fontId="132" fillId="0" borderId="13" xfId="0" applyFont="1" applyBorder="1" applyAlignment="1">
      <alignment horizontal="left" vertical="top" wrapText="1"/>
    </xf>
    <xf numFmtId="0" fontId="132" fillId="0" borderId="0" xfId="0" applyFont="1" applyBorder="1" applyAlignment="1">
      <alignment horizontal="left" vertical="top" wrapText="1"/>
    </xf>
    <xf numFmtId="0" fontId="132" fillId="0" borderId="17" xfId="0" applyFont="1" applyBorder="1" applyAlignment="1">
      <alignment horizontal="left" vertical="top" wrapText="1"/>
    </xf>
    <xf numFmtId="0" fontId="75" fillId="0" borderId="13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 vertical="top" wrapText="1"/>
    </xf>
    <xf numFmtId="0" fontId="75" fillId="0" borderId="17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right" vertical="top" wrapText="1"/>
    </xf>
    <xf numFmtId="0" fontId="75" fillId="0" borderId="17" xfId="0" applyFont="1" applyBorder="1" applyAlignment="1">
      <alignment horizontal="right" vertical="top" wrapText="1"/>
    </xf>
    <xf numFmtId="0" fontId="148" fillId="0" borderId="13" xfId="0" applyFont="1" applyBorder="1" applyAlignment="1">
      <alignment horizontal="left" vertical="top" wrapText="1"/>
    </xf>
    <xf numFmtId="0" fontId="148" fillId="0" borderId="0" xfId="0" applyFont="1" applyBorder="1" applyAlignment="1">
      <alignment horizontal="left" vertical="top" wrapText="1"/>
    </xf>
    <xf numFmtId="0" fontId="148" fillId="0" borderId="17" xfId="0" applyFont="1" applyBorder="1" applyAlignment="1">
      <alignment horizontal="left" vertical="top" wrapText="1"/>
    </xf>
    <xf numFmtId="0" fontId="125" fillId="0" borderId="0" xfId="0" applyFont="1" applyFill="1" applyBorder="1" applyAlignment="1">
      <alignment horizontal="right" vertical="top" wrapText="1"/>
    </xf>
    <xf numFmtId="0" fontId="125" fillId="0" borderId="17" xfId="0" applyFont="1" applyFill="1" applyBorder="1" applyAlignment="1">
      <alignment horizontal="right" vertical="top" wrapText="1"/>
    </xf>
    <xf numFmtId="0" fontId="92" fillId="0" borderId="30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161" fillId="0" borderId="0" xfId="0" applyFont="1" applyFill="1" applyBorder="1" applyAlignment="1">
      <alignment horizontal="center"/>
    </xf>
    <xf numFmtId="0" fontId="272" fillId="0" borderId="17" xfId="0" applyFont="1" applyBorder="1" applyAlignment="1">
      <alignment horizontal="right"/>
    </xf>
    <xf numFmtId="0" fontId="92" fillId="0" borderId="12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right" vertical="top" wrapText="1"/>
    </xf>
    <xf numFmtId="0" fontId="102" fillId="0" borderId="17" xfId="0" applyFont="1" applyBorder="1" applyAlignment="1">
      <alignment horizontal="right" vertical="top" wrapText="1"/>
    </xf>
    <xf numFmtId="0" fontId="144" fillId="0" borderId="15" xfId="0" applyFont="1" applyBorder="1" applyAlignment="1">
      <alignment horizontal="center"/>
    </xf>
    <xf numFmtId="0" fontId="144" fillId="0" borderId="19" xfId="0" applyFont="1" applyBorder="1" applyAlignment="1">
      <alignment horizontal="center"/>
    </xf>
    <xf numFmtId="0" fontId="101" fillId="0" borderId="0" xfId="0" applyFont="1" applyBorder="1" applyAlignment="1">
      <alignment horizontal="left" vertical="top" wrapText="1"/>
    </xf>
    <xf numFmtId="0" fontId="144" fillId="0" borderId="0" xfId="0" applyFont="1" applyBorder="1" applyAlignment="1">
      <alignment horizontal="center"/>
    </xf>
    <xf numFmtId="0" fontId="144" fillId="0" borderId="17" xfId="0" applyFont="1" applyBorder="1" applyAlignment="1">
      <alignment horizontal="center"/>
    </xf>
    <xf numFmtId="0" fontId="135" fillId="0" borderId="11" xfId="0" applyFont="1" applyBorder="1" applyAlignment="1">
      <alignment horizontal="center" vertical="center" wrapText="1"/>
    </xf>
    <xf numFmtId="0" fontId="135" fillId="0" borderId="20" xfId="0" applyFont="1" applyBorder="1" applyAlignment="1">
      <alignment horizontal="center"/>
    </xf>
    <xf numFmtId="0" fontId="135" fillId="0" borderId="19" xfId="0" applyFont="1" applyBorder="1" applyAlignment="1">
      <alignment horizontal="center"/>
    </xf>
    <xf numFmtId="0" fontId="144" fillId="0" borderId="12" xfId="0" applyFont="1" applyBorder="1" applyAlignment="1">
      <alignment horizontal="center"/>
    </xf>
    <xf numFmtId="0" fontId="144" fillId="0" borderId="16" xfId="0" applyFont="1" applyBorder="1" applyAlignment="1">
      <alignment horizontal="center"/>
    </xf>
    <xf numFmtId="0" fontId="135" fillId="0" borderId="14" xfId="0" applyFont="1" applyBorder="1" applyAlignment="1">
      <alignment horizontal="center"/>
    </xf>
    <xf numFmtId="0" fontId="135" fillId="0" borderId="16" xfId="0" applyFont="1" applyBorder="1" applyAlignment="1">
      <alignment horizontal="center"/>
    </xf>
    <xf numFmtId="0" fontId="75" fillId="0" borderId="0" xfId="0" applyFont="1" applyBorder="1" applyAlignment="1">
      <alignment vertical="top" wrapText="1"/>
    </xf>
    <xf numFmtId="0" fontId="75" fillId="0" borderId="17" xfId="0" applyFont="1" applyBorder="1" applyAlignment="1">
      <alignment vertical="top" wrapText="1"/>
    </xf>
    <xf numFmtId="0" fontId="106" fillId="0" borderId="0" xfId="0" applyFont="1" applyBorder="1" applyAlignment="1">
      <alignment horizontal="right" vertical="top" wrapText="1"/>
    </xf>
    <xf numFmtId="1" fontId="119" fillId="0" borderId="30" xfId="0" applyNumberFormat="1" applyFont="1" applyBorder="1" applyAlignment="1">
      <alignment horizontal="center"/>
    </xf>
    <xf numFmtId="1" fontId="119" fillId="0" borderId="25" xfId="0" applyNumberFormat="1" applyFont="1" applyBorder="1" applyAlignment="1">
      <alignment horizontal="center"/>
    </xf>
    <xf numFmtId="1" fontId="119" fillId="0" borderId="33" xfId="0" applyNumberFormat="1" applyFont="1" applyBorder="1" applyAlignment="1">
      <alignment horizontal="center"/>
    </xf>
    <xf numFmtId="0" fontId="101" fillId="0" borderId="13" xfId="0" applyFont="1" applyBorder="1" applyAlignment="1">
      <alignment horizontal="left" vertical="top" wrapText="1"/>
    </xf>
    <xf numFmtId="0" fontId="101" fillId="0" borderId="17" xfId="0" applyFont="1" applyBorder="1" applyAlignment="1">
      <alignment horizontal="left" vertical="top" wrapText="1"/>
    </xf>
    <xf numFmtId="0" fontId="326" fillId="0" borderId="13" xfId="0" applyNumberFormat="1" applyFont="1" applyBorder="1" applyAlignment="1">
      <alignment horizontal="left" vertical="center" wrapText="1"/>
    </xf>
    <xf numFmtId="0" fontId="119" fillId="32" borderId="13" xfId="0" applyFont="1" applyFill="1" applyBorder="1" applyAlignment="1">
      <alignment horizontal="left" vertical="top" wrapText="1"/>
    </xf>
    <xf numFmtId="0" fontId="204" fillId="32" borderId="0" xfId="0" applyFont="1" applyFill="1" applyBorder="1" applyAlignment="1">
      <alignment/>
    </xf>
    <xf numFmtId="0" fontId="204" fillId="32" borderId="17" xfId="0" applyFont="1" applyFill="1" applyBorder="1" applyAlignment="1">
      <alignment/>
    </xf>
    <xf numFmtId="0" fontId="204" fillId="32" borderId="13" xfId="0" applyFont="1" applyFill="1" applyBorder="1" applyAlignment="1">
      <alignment/>
    </xf>
    <xf numFmtId="0" fontId="119" fillId="0" borderId="13" xfId="0" applyFont="1" applyBorder="1" applyAlignment="1">
      <alignment horizontal="left"/>
    </xf>
    <xf numFmtId="0" fontId="34" fillId="0" borderId="17" xfId="0" applyFont="1" applyBorder="1" applyAlignment="1">
      <alignment horizontal="right"/>
    </xf>
    <xf numFmtId="0" fontId="90" fillId="0" borderId="0" xfId="0" applyFont="1" applyFill="1" applyBorder="1" applyAlignment="1">
      <alignment horizontal="center"/>
    </xf>
    <xf numFmtId="0" fontId="148" fillId="0" borderId="13" xfId="0" applyFont="1" applyBorder="1" applyAlignment="1">
      <alignment horizontal="left" vertical="center" wrapText="1"/>
    </xf>
    <xf numFmtId="0" fontId="148" fillId="0" borderId="0" xfId="0" applyFont="1" applyBorder="1" applyAlignment="1">
      <alignment horizontal="left" vertical="center" wrapText="1"/>
    </xf>
    <xf numFmtId="0" fontId="148" fillId="0" borderId="17" xfId="0" applyFont="1" applyBorder="1" applyAlignment="1">
      <alignment horizontal="left" vertical="center" wrapText="1"/>
    </xf>
    <xf numFmtId="0" fontId="88" fillId="0" borderId="20" xfId="0" applyFont="1" applyBorder="1" applyAlignment="1">
      <alignment horizontal="center"/>
    </xf>
    <xf numFmtId="0" fontId="88" fillId="0" borderId="19" xfId="0" applyFont="1" applyBorder="1" applyAlignment="1">
      <alignment horizontal="center"/>
    </xf>
    <xf numFmtId="0" fontId="111" fillId="0" borderId="20" xfId="0" applyFont="1" applyBorder="1" applyAlignment="1">
      <alignment horizontal="center"/>
    </xf>
    <xf numFmtId="0" fontId="111" fillId="0" borderId="19" xfId="0" applyFont="1" applyBorder="1" applyAlignment="1">
      <alignment horizontal="center"/>
    </xf>
    <xf numFmtId="0" fontId="148" fillId="0" borderId="13" xfId="0" applyFont="1" applyBorder="1" applyAlignment="1">
      <alignment horizontal="left" wrapText="1"/>
    </xf>
    <xf numFmtId="0" fontId="148" fillId="0" borderId="0" xfId="0" applyFont="1" applyBorder="1" applyAlignment="1">
      <alignment horizontal="left" wrapText="1"/>
    </xf>
    <xf numFmtId="0" fontId="148" fillId="0" borderId="17" xfId="0" applyFont="1" applyBorder="1" applyAlignment="1">
      <alignment horizontal="left" wrapText="1"/>
    </xf>
    <xf numFmtId="0" fontId="360" fillId="0" borderId="0" xfId="0" applyFont="1" applyAlignment="1">
      <alignment horizontal="center"/>
    </xf>
    <xf numFmtId="0" fontId="92" fillId="0" borderId="14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left" wrapText="1"/>
    </xf>
    <xf numFmtId="0" fontId="101" fillId="0" borderId="0" xfId="0" applyFont="1" applyBorder="1" applyAlignment="1">
      <alignment horizontal="left" wrapText="1"/>
    </xf>
    <xf numFmtId="0" fontId="101" fillId="0" borderId="17" xfId="0" applyFont="1" applyBorder="1" applyAlignment="1">
      <alignment horizontal="left" wrapText="1"/>
    </xf>
    <xf numFmtId="0" fontId="64" fillId="0" borderId="13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111" fillId="0" borderId="14" xfId="0" applyFont="1" applyBorder="1" applyAlignment="1">
      <alignment horizontal="center"/>
    </xf>
    <xf numFmtId="0" fontId="111" fillId="0" borderId="16" xfId="0" applyFont="1" applyBorder="1" applyAlignment="1">
      <alignment horizontal="center"/>
    </xf>
    <xf numFmtId="0" fontId="111" fillId="0" borderId="13" xfId="0" applyFont="1" applyBorder="1" applyAlignment="1">
      <alignment horizontal="center"/>
    </xf>
    <xf numFmtId="0" fontId="111" fillId="0" borderId="17" xfId="0" applyFont="1" applyBorder="1" applyAlignment="1">
      <alignment horizontal="center"/>
    </xf>
    <xf numFmtId="0" fontId="112" fillId="0" borderId="0" xfId="0" applyFont="1" applyAlignment="1">
      <alignment horizontal="center"/>
    </xf>
    <xf numFmtId="14" fontId="95" fillId="0" borderId="12" xfId="0" applyNumberFormat="1" applyFont="1" applyBorder="1" applyAlignment="1">
      <alignment horizontal="center"/>
    </xf>
    <xf numFmtId="0" fontId="64" fillId="0" borderId="13" xfId="0" applyFont="1" applyBorder="1" applyAlignment="1">
      <alignment horizontal="left" wrapText="1"/>
    </xf>
    <xf numFmtId="0" fontId="64" fillId="0" borderId="0" xfId="0" applyFont="1" applyBorder="1" applyAlignment="1">
      <alignment horizontal="left" wrapText="1"/>
    </xf>
    <xf numFmtId="0" fontId="64" fillId="0" borderId="17" xfId="0" applyFont="1" applyBorder="1" applyAlignment="1">
      <alignment horizontal="left" wrapText="1"/>
    </xf>
    <xf numFmtId="0" fontId="114" fillId="0" borderId="10" xfId="0" applyFont="1" applyBorder="1" applyAlignment="1">
      <alignment horizontal="center" vertical="center"/>
    </xf>
    <xf numFmtId="179" fontId="106" fillId="0" borderId="10" xfId="6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wrapText="1"/>
    </xf>
    <xf numFmtId="0" fontId="88" fillId="0" borderId="0" xfId="0" applyFont="1" applyBorder="1" applyAlignment="1">
      <alignment horizontal="center" wrapText="1"/>
    </xf>
    <xf numFmtId="0" fontId="101" fillId="0" borderId="20" xfId="0" applyFont="1" applyBorder="1" applyAlignment="1">
      <alignment horizontal="left" wrapText="1"/>
    </xf>
    <xf numFmtId="0" fontId="101" fillId="0" borderId="15" xfId="0" applyFont="1" applyBorder="1" applyAlignment="1">
      <alignment horizontal="left" wrapText="1"/>
    </xf>
    <xf numFmtId="0" fontId="101" fillId="0" borderId="19" xfId="0" applyFont="1" applyBorder="1" applyAlignment="1">
      <alignment horizontal="left" wrapText="1"/>
    </xf>
    <xf numFmtId="179" fontId="64" fillId="0" borderId="10" xfId="6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101" fillId="0" borderId="20" xfId="0" applyFont="1" applyBorder="1" applyAlignment="1">
      <alignment horizontal="left" vertical="top" wrapText="1"/>
    </xf>
    <xf numFmtId="0" fontId="101" fillId="0" borderId="15" xfId="0" applyFont="1" applyBorder="1" applyAlignment="1">
      <alignment horizontal="left" vertical="top" wrapText="1"/>
    </xf>
    <xf numFmtId="0" fontId="101" fillId="0" borderId="19" xfId="0" applyFont="1" applyBorder="1" applyAlignment="1">
      <alignment horizontal="left" vertical="top" wrapText="1"/>
    </xf>
    <xf numFmtId="0" fontId="92" fillId="0" borderId="13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2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81" fillId="0" borderId="13" xfId="0" applyFont="1" applyBorder="1" applyAlignment="1">
      <alignment horizontal="left" wrapText="1"/>
    </xf>
    <xf numFmtId="0" fontId="81" fillId="0" borderId="0" xfId="0" applyFont="1" applyBorder="1" applyAlignment="1">
      <alignment horizontal="left" wrapText="1"/>
    </xf>
    <xf numFmtId="0" fontId="273" fillId="0" borderId="0" xfId="0" applyFont="1" applyBorder="1" applyAlignment="1">
      <alignment horizontal="right"/>
    </xf>
    <xf numFmtId="0" fontId="274" fillId="0" borderId="17" xfId="0" applyFont="1" applyBorder="1" applyAlignment="1">
      <alignment horizontal="right"/>
    </xf>
    <xf numFmtId="0" fontId="209" fillId="0" borderId="32" xfId="0" applyFont="1" applyBorder="1" applyAlignment="1">
      <alignment horizontal="justify" vertical="top" wrapText="1"/>
    </xf>
    <xf numFmtId="0" fontId="209" fillId="0" borderId="31" xfId="0" applyFont="1" applyBorder="1" applyAlignment="1">
      <alignment horizontal="justify" vertical="top" wrapText="1"/>
    </xf>
    <xf numFmtId="0" fontId="209" fillId="0" borderId="24" xfId="0" applyFont="1" applyBorder="1" applyAlignment="1">
      <alignment horizontal="justify" vertical="top" wrapText="1"/>
    </xf>
    <xf numFmtId="0" fontId="64" fillId="0" borderId="14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134" fillId="0" borderId="13" xfId="0" applyFont="1" applyBorder="1" applyAlignment="1">
      <alignment horizontal="left" vertical="top" wrapText="1"/>
    </xf>
    <xf numFmtId="0" fontId="134" fillId="0" borderId="0" xfId="0" applyFont="1" applyBorder="1" applyAlignment="1">
      <alignment horizontal="left" vertical="top" wrapText="1"/>
    </xf>
    <xf numFmtId="0" fontId="134" fillId="0" borderId="17" xfId="0" applyFont="1" applyBorder="1" applyAlignment="1">
      <alignment horizontal="left" vertical="top" wrapText="1"/>
    </xf>
    <xf numFmtId="0" fontId="335" fillId="0" borderId="13" xfId="0" applyFont="1" applyBorder="1" applyAlignment="1">
      <alignment horizontal="left" vertical="top" wrapText="1"/>
    </xf>
    <xf numFmtId="0" fontId="335" fillId="0" borderId="0" xfId="0" applyFont="1" applyBorder="1" applyAlignment="1">
      <alignment horizontal="left" vertical="top" wrapText="1"/>
    </xf>
    <xf numFmtId="0" fontId="335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95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75" fillId="0" borderId="13" xfId="0" applyFont="1" applyBorder="1" applyAlignment="1">
      <alignment horizontal="center"/>
    </xf>
    <xf numFmtId="0" fontId="175" fillId="0" borderId="0" xfId="0" applyFont="1" applyBorder="1" applyAlignment="1">
      <alignment horizontal="center"/>
    </xf>
    <xf numFmtId="0" fontId="175" fillId="0" borderId="17" xfId="0" applyFont="1" applyBorder="1" applyAlignment="1">
      <alignment horizontal="center"/>
    </xf>
    <xf numFmtId="0" fontId="171" fillId="0" borderId="0" xfId="0" applyFont="1" applyBorder="1" applyAlignment="1">
      <alignment horizontal="center"/>
    </xf>
    <xf numFmtId="0" fontId="170" fillId="0" borderId="0" xfId="0" applyFont="1" applyBorder="1" applyAlignment="1">
      <alignment horizontal="left"/>
    </xf>
    <xf numFmtId="0" fontId="181" fillId="0" borderId="13" xfId="0" applyFont="1" applyBorder="1" applyAlignment="1">
      <alignment horizontal="center"/>
    </xf>
    <xf numFmtId="0" fontId="181" fillId="0" borderId="0" xfId="0" applyFont="1" applyBorder="1" applyAlignment="1">
      <alignment horizontal="center"/>
    </xf>
    <xf numFmtId="0" fontId="170" fillId="0" borderId="12" xfId="0" applyFont="1" applyBorder="1" applyAlignment="1">
      <alignment horizontal="center"/>
    </xf>
    <xf numFmtId="0" fontId="75" fillId="0" borderId="13" xfId="0" applyFont="1" applyFill="1" applyBorder="1" applyAlignment="1">
      <alignment horizontal="left" wrapText="1"/>
    </xf>
    <xf numFmtId="0" fontId="75" fillId="0" borderId="0" xfId="0" applyFont="1" applyFill="1" applyBorder="1" applyAlignment="1">
      <alignment horizontal="left" wrapText="1"/>
    </xf>
    <xf numFmtId="0" fontId="75" fillId="0" borderId="17" xfId="0" applyFont="1" applyFill="1" applyBorder="1" applyAlignment="1">
      <alignment horizontal="left" wrapText="1"/>
    </xf>
    <xf numFmtId="0" fontId="134" fillId="0" borderId="13" xfId="0" applyFont="1" applyBorder="1" applyAlignment="1">
      <alignment horizontal="left" vertical="center" wrapText="1"/>
    </xf>
    <xf numFmtId="0" fontId="134" fillId="0" borderId="0" xfId="0" applyFont="1" applyBorder="1" applyAlignment="1">
      <alignment horizontal="left" vertical="center" wrapText="1"/>
    </xf>
    <xf numFmtId="0" fontId="134" fillId="0" borderId="17" xfId="0" applyFont="1" applyBorder="1" applyAlignment="1">
      <alignment horizontal="left" vertical="center" wrapText="1"/>
    </xf>
    <xf numFmtId="0" fontId="238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237" fillId="0" borderId="30" xfId="0" applyFont="1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343" fillId="0" borderId="0" xfId="0" applyFont="1" applyBorder="1" applyAlignment="1">
      <alignment horizontal="left" wrapText="1"/>
    </xf>
    <xf numFmtId="0" fontId="338" fillId="0" borderId="0" xfId="0" applyFont="1" applyBorder="1" applyAlignment="1">
      <alignment horizontal="left" vertical="center" wrapText="1"/>
    </xf>
    <xf numFmtId="0" fontId="338" fillId="0" borderId="17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339" fillId="0" borderId="0" xfId="0" applyFont="1" applyAlignment="1">
      <alignment horizontal="center"/>
    </xf>
    <xf numFmtId="0" fontId="339" fillId="0" borderId="0" xfId="0" applyFont="1" applyAlignment="1">
      <alignment horizontal="center" wrapText="1"/>
    </xf>
    <xf numFmtId="0" fontId="234" fillId="0" borderId="0" xfId="0" applyFont="1" applyAlignment="1">
      <alignment horizontal="center" wrapText="1"/>
    </xf>
    <xf numFmtId="0" fontId="123" fillId="0" borderId="0" xfId="0" applyFont="1" applyBorder="1" applyAlignment="1">
      <alignment horizontal="left"/>
    </xf>
    <xf numFmtId="0" fontId="46" fillId="0" borderId="10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2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324" fillId="0" borderId="14" xfId="0" applyFont="1" applyBorder="1" applyAlignment="1">
      <alignment horizontal="left" vertical="center" wrapText="1"/>
    </xf>
    <xf numFmtId="0" fontId="324" fillId="0" borderId="12" xfId="0" applyFont="1" applyBorder="1" applyAlignment="1">
      <alignment horizontal="left" vertical="center" wrapText="1"/>
    </xf>
    <xf numFmtId="0" fontId="324" fillId="0" borderId="30" xfId="0" applyFont="1" applyBorder="1" applyAlignment="1">
      <alignment horizontal="left" vertical="center" wrapText="1"/>
    </xf>
    <xf numFmtId="0" fontId="324" fillId="0" borderId="25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358" fillId="0" borderId="13" xfId="0" applyFont="1" applyBorder="1" applyAlignment="1">
      <alignment horizontal="left" vertical="center" wrapText="1"/>
    </xf>
    <xf numFmtId="0" fontId="358" fillId="0" borderId="0" xfId="0" applyFont="1" applyBorder="1" applyAlignment="1">
      <alignment horizontal="left" vertical="center" wrapText="1"/>
    </xf>
    <xf numFmtId="0" fontId="358" fillId="0" borderId="17" xfId="0" applyFont="1" applyBorder="1" applyAlignment="1">
      <alignment horizontal="left" vertical="center" wrapText="1"/>
    </xf>
    <xf numFmtId="0" fontId="123" fillId="0" borderId="12" xfId="0" applyFont="1" applyBorder="1" applyAlignment="1">
      <alignment horizontal="left"/>
    </xf>
    <xf numFmtId="0" fontId="338" fillId="0" borderId="13" xfId="0" applyFont="1" applyBorder="1" applyAlignment="1">
      <alignment horizontal="left" vertical="center" wrapText="1"/>
    </xf>
    <xf numFmtId="0" fontId="338" fillId="0" borderId="14" xfId="0" applyFont="1" applyBorder="1" applyAlignment="1">
      <alignment horizontal="left" vertical="center" wrapText="1"/>
    </xf>
    <xf numFmtId="0" fontId="338" fillId="0" borderId="12" xfId="0" applyFont="1" applyBorder="1" applyAlignment="1">
      <alignment horizontal="left" vertical="center" wrapText="1"/>
    </xf>
    <xf numFmtId="0" fontId="433" fillId="35" borderId="0" xfId="0" applyFont="1" applyFill="1" applyBorder="1" applyAlignment="1">
      <alignment/>
    </xf>
    <xf numFmtId="0" fontId="434" fillId="35" borderId="0" xfId="0" applyFont="1" applyFill="1" applyBorder="1" applyAlignment="1">
      <alignment horizontal="center"/>
    </xf>
    <xf numFmtId="0" fontId="435" fillId="35" borderId="0" xfId="0" applyFont="1" applyFill="1" applyBorder="1" applyAlignment="1">
      <alignment/>
    </xf>
    <xf numFmtId="0" fontId="436" fillId="35" borderId="0" xfId="0" applyFont="1" applyFill="1" applyBorder="1" applyAlignment="1">
      <alignment horizontal="center"/>
    </xf>
    <xf numFmtId="0" fontId="437" fillId="35" borderId="0" xfId="0" applyFont="1" applyFill="1" applyBorder="1" applyAlignment="1">
      <alignment horizontal="left"/>
    </xf>
    <xf numFmtId="0" fontId="437" fillId="35" borderId="0" xfId="0" applyFont="1" applyFill="1" applyBorder="1" applyAlignment="1">
      <alignment horizontal="center"/>
    </xf>
    <xf numFmtId="0" fontId="438" fillId="35" borderId="0" xfId="0" applyFont="1" applyFill="1" applyBorder="1" applyAlignment="1">
      <alignment horizontal="center"/>
    </xf>
    <xf numFmtId="1" fontId="435" fillId="35" borderId="0" xfId="0" applyNumberFormat="1" applyFont="1" applyFill="1" applyBorder="1" applyAlignment="1">
      <alignment/>
    </xf>
    <xf numFmtId="1" fontId="436" fillId="35" borderId="0" xfId="0" applyNumberFormat="1" applyFont="1" applyFill="1" applyBorder="1" applyAlignment="1">
      <alignment/>
    </xf>
    <xf numFmtId="0" fontId="436" fillId="35" borderId="0" xfId="0" applyFont="1" applyFill="1" applyBorder="1" applyAlignment="1">
      <alignment/>
    </xf>
    <xf numFmtId="0" fontId="435" fillId="35" borderId="0" xfId="0" applyFont="1" applyFill="1" applyBorder="1" applyAlignment="1">
      <alignment horizontal="center"/>
    </xf>
    <xf numFmtId="2" fontId="435" fillId="35" borderId="0" xfId="0" applyNumberFormat="1" applyFont="1" applyFill="1" applyBorder="1" applyAlignment="1">
      <alignment horizontal="center"/>
    </xf>
    <xf numFmtId="0" fontId="435" fillId="35" borderId="0" xfId="0" applyFont="1" applyFill="1" applyBorder="1" applyAlignment="1">
      <alignment horizontal="center" vertical="center" wrapText="1"/>
    </xf>
    <xf numFmtId="0" fontId="439" fillId="35" borderId="0" xfId="0" applyFont="1" applyFill="1" applyBorder="1" applyAlignment="1">
      <alignment/>
    </xf>
    <xf numFmtId="0" fontId="440" fillId="35" borderId="0" xfId="0" applyFont="1" applyFill="1" applyBorder="1" applyAlignment="1">
      <alignment horizontal="center"/>
    </xf>
    <xf numFmtId="0" fontId="439" fillId="35" borderId="0" xfId="0" applyFont="1" applyFill="1" applyBorder="1" applyAlignment="1">
      <alignment horizontal="center"/>
    </xf>
    <xf numFmtId="0" fontId="433" fillId="35" borderId="0" xfId="0" applyFont="1" applyFill="1" applyBorder="1" applyAlignment="1">
      <alignment horizontal="center"/>
    </xf>
    <xf numFmtId="0" fontId="441" fillId="35" borderId="0" xfId="0" applyFont="1" applyFill="1" applyBorder="1" applyAlignment="1">
      <alignment horizontal="center"/>
    </xf>
    <xf numFmtId="0" fontId="442" fillId="35" borderId="0" xfId="0" applyFont="1" applyFill="1" applyBorder="1" applyAlignment="1">
      <alignment/>
    </xf>
    <xf numFmtId="0" fontId="443" fillId="35" borderId="0" xfId="0" applyFont="1" applyFill="1" applyBorder="1" applyAlignment="1">
      <alignment horizontal="center"/>
    </xf>
    <xf numFmtId="0" fontId="444" fillId="35" borderId="0" xfId="0" applyFont="1" applyFill="1" applyBorder="1" applyAlignment="1">
      <alignment horizontal="center"/>
    </xf>
    <xf numFmtId="14" fontId="436" fillId="35" borderId="0" xfId="0" applyNumberFormat="1" applyFont="1" applyFill="1" applyBorder="1" applyAlignment="1">
      <alignment/>
    </xf>
    <xf numFmtId="0" fontId="445" fillId="35" borderId="0" xfId="0" applyFont="1" applyFill="1" applyBorder="1" applyAlignment="1">
      <alignment horizontal="center"/>
    </xf>
    <xf numFmtId="14" fontId="437" fillId="35" borderId="0" xfId="0" applyNumberFormat="1" applyFont="1" applyFill="1" applyBorder="1" applyAlignment="1">
      <alignment/>
    </xf>
    <xf numFmtId="0" fontId="446" fillId="35" borderId="0" xfId="0" applyFont="1" applyFill="1" applyBorder="1" applyAlignment="1">
      <alignment horizontal="center"/>
    </xf>
    <xf numFmtId="0" fontId="447" fillId="35" borderId="0" xfId="0" applyFont="1" applyFill="1" applyBorder="1" applyAlignment="1">
      <alignment horizontal="center"/>
    </xf>
    <xf numFmtId="0" fontId="448" fillId="35" borderId="0" xfId="0" applyFont="1" applyFill="1" applyBorder="1" applyAlignment="1">
      <alignment/>
    </xf>
    <xf numFmtId="0" fontId="442" fillId="35" borderId="0" xfId="0" applyFont="1" applyFill="1" applyBorder="1" applyAlignment="1">
      <alignment horizontal="center"/>
    </xf>
    <xf numFmtId="1" fontId="437" fillId="35" borderId="0" xfId="0" applyNumberFormat="1" applyFont="1" applyFill="1" applyBorder="1" applyAlignment="1">
      <alignment horizontal="center"/>
    </xf>
    <xf numFmtId="14" fontId="435" fillId="35" borderId="0" xfId="0" applyNumberFormat="1" applyFont="1" applyFill="1" applyBorder="1" applyAlignment="1">
      <alignment horizontal="center"/>
    </xf>
    <xf numFmtId="0" fontId="449" fillId="35" borderId="0" xfId="0" applyFont="1" applyFill="1" applyBorder="1" applyAlignment="1">
      <alignment horizontal="center"/>
    </xf>
    <xf numFmtId="3" fontId="435" fillId="35" borderId="0" xfId="0" applyNumberFormat="1" applyFont="1" applyFill="1" applyBorder="1" applyAlignment="1">
      <alignment horizontal="center"/>
    </xf>
    <xf numFmtId="0" fontId="450" fillId="35" borderId="0" xfId="0" applyFont="1" applyFill="1" applyBorder="1" applyAlignment="1">
      <alignment horizontal="right"/>
    </xf>
    <xf numFmtId="3" fontId="451" fillId="35" borderId="0" xfId="0" applyNumberFormat="1" applyFont="1" applyFill="1" applyBorder="1" applyAlignment="1">
      <alignment horizontal="center"/>
    </xf>
    <xf numFmtId="3" fontId="435" fillId="35" borderId="0" xfId="0" applyNumberFormat="1" applyFont="1" applyFill="1" applyBorder="1" applyAlignment="1">
      <alignment horizontal="center" vertical="center" wrapText="1"/>
    </xf>
    <xf numFmtId="3" fontId="435" fillId="35" borderId="0" xfId="0" applyNumberFormat="1" applyFont="1" applyFill="1" applyBorder="1" applyAlignment="1">
      <alignment horizontal="center" vertical="center"/>
    </xf>
    <xf numFmtId="3" fontId="445" fillId="35" borderId="0" xfId="0" applyNumberFormat="1" applyFont="1" applyFill="1" applyBorder="1" applyAlignment="1">
      <alignment horizontal="center"/>
    </xf>
    <xf numFmtId="3" fontId="452" fillId="35" borderId="0" xfId="0" applyNumberFormat="1" applyFont="1" applyFill="1" applyBorder="1" applyAlignment="1">
      <alignment horizontal="center"/>
    </xf>
    <xf numFmtId="3" fontId="453" fillId="35" borderId="0" xfId="0" applyNumberFormat="1" applyFont="1" applyFill="1" applyBorder="1" applyAlignment="1">
      <alignment horizontal="center"/>
    </xf>
    <xf numFmtId="3" fontId="441" fillId="35" borderId="0" xfId="0" applyNumberFormat="1" applyFont="1" applyFill="1" applyBorder="1" applyAlignment="1">
      <alignment horizontal="center"/>
    </xf>
    <xf numFmtId="3" fontId="454" fillId="35" borderId="0" xfId="0" applyNumberFormat="1" applyFont="1" applyFill="1" applyBorder="1" applyAlignment="1">
      <alignment horizontal="center"/>
    </xf>
    <xf numFmtId="3" fontId="448" fillId="35" borderId="0" xfId="0" applyNumberFormat="1" applyFont="1" applyFill="1" applyBorder="1" applyAlignment="1">
      <alignment horizontal="center"/>
    </xf>
    <xf numFmtId="3" fontId="449" fillId="35" borderId="0" xfId="0" applyNumberFormat="1" applyFont="1" applyFill="1" applyBorder="1" applyAlignment="1">
      <alignment horizontal="center"/>
    </xf>
    <xf numFmtId="3" fontId="437" fillId="35" borderId="0" xfId="0" applyNumberFormat="1" applyFont="1" applyFill="1" applyBorder="1" applyAlignment="1">
      <alignment horizontal="center"/>
    </xf>
    <xf numFmtId="3" fontId="445" fillId="35" borderId="0" xfId="0" applyNumberFormat="1" applyFont="1" applyFill="1" applyBorder="1" applyAlignment="1">
      <alignment horizontal="center" vertical="center" wrapText="1"/>
    </xf>
    <xf numFmtId="14" fontId="437" fillId="35" borderId="0" xfId="0" applyNumberFormat="1" applyFont="1" applyFill="1" applyBorder="1" applyAlignment="1">
      <alignment horizontal="left"/>
    </xf>
    <xf numFmtId="0" fontId="455" fillId="35" borderId="0" xfId="0" applyFont="1" applyFill="1" applyBorder="1" applyAlignment="1">
      <alignment horizontal="left"/>
    </xf>
    <xf numFmtId="0" fontId="455" fillId="35" borderId="0" xfId="0" applyFont="1" applyFill="1" applyBorder="1" applyAlignment="1">
      <alignment horizontal="center"/>
    </xf>
    <xf numFmtId="0" fontId="456" fillId="35" borderId="0" xfId="0" applyFont="1" applyFill="1" applyBorder="1" applyAlignment="1">
      <alignment horizontal="center"/>
    </xf>
    <xf numFmtId="0" fontId="457" fillId="35" borderId="0" xfId="0" applyFont="1" applyFill="1" applyBorder="1" applyAlignment="1">
      <alignment horizontal="center"/>
    </xf>
    <xf numFmtId="0" fontId="458" fillId="35" borderId="0" xfId="0" applyFont="1" applyFill="1" applyBorder="1" applyAlignment="1">
      <alignment horizontal="center"/>
    </xf>
    <xf numFmtId="0" fontId="459" fillId="35" borderId="0" xfId="0" applyFont="1" applyFill="1" applyBorder="1" applyAlignment="1">
      <alignment horizontal="center"/>
    </xf>
    <xf numFmtId="14" fontId="448" fillId="35" borderId="0" xfId="0" applyNumberFormat="1" applyFont="1" applyFill="1" applyBorder="1" applyAlignment="1">
      <alignment horizontal="left"/>
    </xf>
    <xf numFmtId="0" fontId="460" fillId="35" borderId="0" xfId="0" applyFont="1" applyFill="1" applyBorder="1" applyAlignment="1">
      <alignment horizontal="center"/>
    </xf>
    <xf numFmtId="0" fontId="461" fillId="35" borderId="0" xfId="0" applyFont="1" applyFill="1" applyBorder="1" applyAlignment="1">
      <alignment horizontal="center"/>
    </xf>
    <xf numFmtId="0" fontId="457" fillId="35" borderId="0" xfId="0" applyFont="1" applyFill="1" applyBorder="1" applyAlignment="1">
      <alignment horizontal="center"/>
    </xf>
    <xf numFmtId="0" fontId="457" fillId="35" borderId="0" xfId="0" applyFont="1" applyFill="1" applyBorder="1" applyAlignment="1">
      <alignment/>
    </xf>
    <xf numFmtId="0" fontId="462" fillId="35" borderId="0" xfId="0" applyFont="1" applyFill="1" applyBorder="1" applyAlignment="1">
      <alignment horizontal="center"/>
    </xf>
    <xf numFmtId="0" fontId="456" fillId="35" borderId="0" xfId="0" applyFont="1" applyFill="1" applyBorder="1" applyAlignment="1">
      <alignment/>
    </xf>
    <xf numFmtId="1" fontId="463" fillId="35" borderId="0" xfId="0" applyNumberFormat="1" applyFont="1" applyFill="1" applyBorder="1" applyAlignment="1">
      <alignment horizontal="center"/>
    </xf>
    <xf numFmtId="1" fontId="456" fillId="35" borderId="0" xfId="0" applyNumberFormat="1" applyFont="1" applyFill="1" applyBorder="1" applyAlignment="1">
      <alignment horizontal="center"/>
    </xf>
    <xf numFmtId="0" fontId="464" fillId="35" borderId="0" xfId="0" applyFont="1" applyFill="1" applyBorder="1" applyAlignment="1">
      <alignment horizontal="center"/>
    </xf>
    <xf numFmtId="0" fontId="464" fillId="35" borderId="0" xfId="0" applyFont="1" applyFill="1" applyBorder="1" applyAlignment="1">
      <alignment/>
    </xf>
    <xf numFmtId="0" fontId="463" fillId="35" borderId="0" xfId="0" applyFont="1" applyFill="1" applyBorder="1" applyAlignment="1">
      <alignment/>
    </xf>
    <xf numFmtId="0" fontId="103" fillId="0" borderId="20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92" fillId="0" borderId="17" xfId="0" applyFont="1" applyBorder="1" applyAlignment="1">
      <alignment horizontal="center"/>
    </xf>
    <xf numFmtId="0" fontId="465" fillId="35" borderId="0" xfId="0" applyFont="1" applyFill="1" applyBorder="1" applyAlignment="1">
      <alignment/>
    </xf>
    <xf numFmtId="0" fontId="466" fillId="35" borderId="0" xfId="0" applyFont="1" applyFill="1" applyBorder="1" applyAlignment="1">
      <alignment horizontal="center"/>
    </xf>
    <xf numFmtId="0" fontId="467" fillId="35" borderId="0" xfId="0" applyFont="1" applyFill="1" applyBorder="1" applyAlignment="1">
      <alignment/>
    </xf>
    <xf numFmtId="0" fontId="465" fillId="35" borderId="0" xfId="0" applyFont="1" applyFill="1" applyBorder="1" applyAlignment="1">
      <alignment horizontal="left"/>
    </xf>
    <xf numFmtId="0" fontId="468" fillId="35" borderId="0" xfId="0" applyFont="1" applyFill="1" applyBorder="1" applyAlignment="1">
      <alignment horizontal="center"/>
    </xf>
    <xf numFmtId="0" fontId="464" fillId="35" borderId="0" xfId="0" applyFont="1" applyFill="1" applyBorder="1" applyAlignment="1">
      <alignment/>
    </xf>
    <xf numFmtId="0" fontId="456" fillId="35" borderId="0" xfId="0" applyFont="1" applyFill="1" applyBorder="1" applyAlignment="1">
      <alignment/>
    </xf>
    <xf numFmtId="0" fontId="463" fillId="35" borderId="0" xfId="0" applyFont="1" applyFill="1" applyBorder="1" applyAlignment="1">
      <alignment horizontal="center"/>
    </xf>
    <xf numFmtId="0" fontId="469" fillId="36" borderId="0" xfId="0" applyFont="1" applyFill="1" applyBorder="1" applyAlignment="1">
      <alignment/>
    </xf>
    <xf numFmtId="0" fontId="470" fillId="36" borderId="0" xfId="0" applyFont="1" applyFill="1" applyBorder="1" applyAlignment="1">
      <alignment horizontal="left"/>
    </xf>
    <xf numFmtId="0" fontId="470" fillId="36" borderId="0" xfId="0" applyFont="1" applyFill="1" applyBorder="1" applyAlignment="1">
      <alignment horizontal="center"/>
    </xf>
    <xf numFmtId="0" fontId="471" fillId="36" borderId="0" xfId="0" applyFont="1" applyFill="1" applyBorder="1" applyAlignment="1">
      <alignment horizontal="center"/>
    </xf>
    <xf numFmtId="0" fontId="472" fillId="36" borderId="0" xfId="0" applyFont="1" applyFill="1" applyBorder="1" applyAlignment="1">
      <alignment horizontal="center"/>
    </xf>
    <xf numFmtId="1" fontId="469" fillId="36" borderId="0" xfId="0" applyNumberFormat="1" applyFont="1" applyFill="1" applyBorder="1" applyAlignment="1">
      <alignment/>
    </xf>
    <xf numFmtId="0" fontId="473" fillId="36" borderId="0" xfId="0" applyFont="1" applyFill="1" applyBorder="1" applyAlignment="1">
      <alignment horizontal="center"/>
    </xf>
    <xf numFmtId="1" fontId="470" fillId="36" borderId="0" xfId="0" applyNumberFormat="1" applyFont="1" applyFill="1" applyBorder="1" applyAlignment="1">
      <alignment horizontal="center"/>
    </xf>
    <xf numFmtId="0" fontId="471" fillId="36" borderId="0" xfId="0" applyFont="1" applyFill="1" applyBorder="1" applyAlignment="1">
      <alignment/>
    </xf>
    <xf numFmtId="0" fontId="474" fillId="36" borderId="0" xfId="0" applyFont="1" applyFill="1" applyBorder="1" applyAlignment="1">
      <alignment horizontal="center"/>
    </xf>
    <xf numFmtId="0" fontId="469" fillId="36" borderId="0" xfId="0" applyFont="1" applyFill="1" applyBorder="1" applyAlignment="1">
      <alignment horizontal="center"/>
    </xf>
    <xf numFmtId="0" fontId="475" fillId="36" borderId="0" xfId="0" applyFont="1" applyFill="1" applyBorder="1" applyAlignment="1">
      <alignment horizontal="center"/>
    </xf>
    <xf numFmtId="0" fontId="476" fillId="36" borderId="0" xfId="0" applyFont="1" applyFill="1" applyBorder="1" applyAlignment="1">
      <alignment horizontal="center"/>
    </xf>
    <xf numFmtId="14" fontId="469" fillId="36" borderId="0" xfId="0" applyNumberFormat="1" applyFont="1" applyFill="1" applyBorder="1" applyAlignment="1">
      <alignment horizontal="center"/>
    </xf>
    <xf numFmtId="0" fontId="477" fillId="36" borderId="0" xfId="0" applyFont="1" applyFill="1" applyBorder="1" applyAlignment="1">
      <alignment horizontal="center"/>
    </xf>
    <xf numFmtId="3" fontId="469" fillId="36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2;&#1093;&#1086;&#1076;&#1103;&#1097;&#1080;&#1077;\&#1052;&#1072;&#1090;-&#1083;&#1099;%20&#1085;&#1072;%20&#1087;&#1083;.&#1091;&#1089;&#1083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2;&#1093;&#1086;&#1076;&#1103;&#1097;&#1080;&#1077;\&#1084;&#1077;&#1090;&#1080;&#1083;%20&#1089;&#1080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  <sheetName val="ОМР"/>
      <sheetName val="Акуш."/>
      <sheetName val="КВО."/>
      <sheetName val="Профы."/>
      <sheetName val="Пр.вр.-спец."/>
      <sheetName val="Хир."/>
      <sheetName val="Офт."/>
      <sheetName val="ЛОР"/>
      <sheetName val="ПНО"/>
      <sheetName val="Лист1"/>
      <sheetName val="диагн."/>
      <sheetName val="Иммун."/>
      <sheetName val="лаб."/>
      <sheetName val="роды нов"/>
      <sheetName val="роды"/>
      <sheetName val="бак"/>
      <sheetName val="цитол"/>
      <sheetName val="бак нов"/>
      <sheetName val="манипуляции"/>
      <sheetName val="УФОК ВЛОК"/>
    </sheetNames>
    <sheetDataSet>
      <sheetData sheetId="0">
        <row r="3">
          <cell r="D3">
            <v>0.77</v>
          </cell>
        </row>
        <row r="5">
          <cell r="D5">
            <v>0.01</v>
          </cell>
        </row>
        <row r="6">
          <cell r="D6">
            <v>0.015</v>
          </cell>
        </row>
        <row r="14">
          <cell r="D14">
            <v>0.21</v>
          </cell>
        </row>
        <row r="37">
          <cell r="D37">
            <v>0.765</v>
          </cell>
        </row>
        <row r="38">
          <cell r="D38">
            <v>0.117</v>
          </cell>
        </row>
        <row r="205">
          <cell r="D205">
            <v>1.1655</v>
          </cell>
        </row>
        <row r="207">
          <cell r="D207">
            <v>0.33</v>
          </cell>
        </row>
        <row r="209">
          <cell r="D209">
            <v>0.45</v>
          </cell>
        </row>
        <row r="231">
          <cell r="D231">
            <v>1.11</v>
          </cell>
        </row>
        <row r="232">
          <cell r="D232">
            <v>0.237</v>
          </cell>
        </row>
        <row r="233">
          <cell r="D233">
            <v>0.245</v>
          </cell>
        </row>
        <row r="234">
          <cell r="D234">
            <v>0.101</v>
          </cell>
        </row>
        <row r="235">
          <cell r="D235">
            <v>0.075</v>
          </cell>
        </row>
        <row r="236">
          <cell r="D236">
            <v>0.009</v>
          </cell>
        </row>
        <row r="237">
          <cell r="D237">
            <v>0.183</v>
          </cell>
        </row>
        <row r="238">
          <cell r="D238">
            <v>0.27</v>
          </cell>
        </row>
      </sheetData>
      <sheetData sheetId="1">
        <row r="12">
          <cell r="G12">
            <v>0.023000000000000003</v>
          </cell>
        </row>
        <row r="17">
          <cell r="G17">
            <v>0.023000000000000003</v>
          </cell>
        </row>
        <row r="24">
          <cell r="G24">
            <v>0.037000000000000005</v>
          </cell>
        </row>
        <row r="35">
          <cell r="G35">
            <v>0.34500000000000003</v>
          </cell>
        </row>
        <row r="47">
          <cell r="G47">
            <v>1.7455</v>
          </cell>
        </row>
        <row r="57">
          <cell r="G57">
            <v>1.01925</v>
          </cell>
        </row>
        <row r="70">
          <cell r="G70">
            <v>1.7805000000000002</v>
          </cell>
        </row>
        <row r="78">
          <cell r="G78">
            <v>0.9836</v>
          </cell>
        </row>
        <row r="85">
          <cell r="G85">
            <v>0.9836</v>
          </cell>
        </row>
        <row r="91">
          <cell r="G91">
            <v>0.612</v>
          </cell>
        </row>
      </sheetData>
      <sheetData sheetId="2">
        <row r="11">
          <cell r="G11">
            <v>2.0425</v>
          </cell>
        </row>
        <row r="16">
          <cell r="G16">
            <v>2.04</v>
          </cell>
        </row>
        <row r="23">
          <cell r="G23">
            <v>1.5274999999999999</v>
          </cell>
        </row>
        <row r="29">
          <cell r="G29">
            <v>2.5175</v>
          </cell>
        </row>
        <row r="45">
          <cell r="G45">
            <v>8.389</v>
          </cell>
        </row>
        <row r="54">
          <cell r="G54">
            <v>3.723</v>
          </cell>
        </row>
        <row r="60">
          <cell r="G60">
            <v>2.105</v>
          </cell>
        </row>
        <row r="74">
          <cell r="G74">
            <v>9.732</v>
          </cell>
        </row>
        <row r="90">
          <cell r="G90">
            <v>15.988</v>
          </cell>
        </row>
      </sheetData>
      <sheetData sheetId="3">
        <row r="13">
          <cell r="G13">
            <v>0.8385</v>
          </cell>
        </row>
        <row r="19">
          <cell r="G19">
            <v>0.8160000000000001</v>
          </cell>
        </row>
        <row r="27">
          <cell r="G27">
            <v>18900</v>
          </cell>
        </row>
        <row r="33">
          <cell r="G33">
            <v>1.4160000000000001</v>
          </cell>
        </row>
        <row r="40">
          <cell r="G40">
            <v>0.8160000000000001</v>
          </cell>
        </row>
        <row r="46">
          <cell r="G46">
            <v>0.79</v>
          </cell>
        </row>
        <row r="57">
          <cell r="G57">
            <v>0.8714000000000001</v>
          </cell>
        </row>
        <row r="69">
          <cell r="G69">
            <v>1.0414</v>
          </cell>
        </row>
        <row r="81">
          <cell r="G81">
            <v>1.0414</v>
          </cell>
        </row>
        <row r="93">
          <cell r="G93">
            <v>1.0414</v>
          </cell>
        </row>
        <row r="105">
          <cell r="G105">
            <v>1.0414</v>
          </cell>
        </row>
        <row r="115">
          <cell r="G115">
            <v>0.8714000000000001</v>
          </cell>
        </row>
        <row r="127">
          <cell r="G127">
            <v>1.0414</v>
          </cell>
        </row>
        <row r="139">
          <cell r="G139">
            <v>1.0424000000000002</v>
          </cell>
        </row>
        <row r="148">
          <cell r="G148">
            <v>1.1475</v>
          </cell>
        </row>
        <row r="151">
          <cell r="G151">
            <v>0</v>
          </cell>
        </row>
        <row r="159">
          <cell r="G159">
            <v>0.3035</v>
          </cell>
        </row>
        <row r="170">
          <cell r="G170">
            <v>1.6629</v>
          </cell>
        </row>
        <row r="180">
          <cell r="G180">
            <v>1.6629</v>
          </cell>
        </row>
        <row r="191">
          <cell r="G191">
            <v>1.6489000000000003</v>
          </cell>
        </row>
        <row r="202">
          <cell r="G202">
            <v>1.6848999999999998</v>
          </cell>
        </row>
        <row r="213">
          <cell r="G213">
            <v>1.6848999999999998</v>
          </cell>
        </row>
        <row r="224">
          <cell r="G224">
            <v>1.6848999999999998</v>
          </cell>
        </row>
        <row r="235">
          <cell r="G235">
            <v>1.6729</v>
          </cell>
        </row>
        <row r="247">
          <cell r="G247">
            <v>1.8618999999999999</v>
          </cell>
        </row>
        <row r="258">
          <cell r="G258">
            <v>1.6888999999999998</v>
          </cell>
        </row>
        <row r="268">
          <cell r="G268">
            <v>1.6929000000000003</v>
          </cell>
        </row>
        <row r="278">
          <cell r="G278">
            <v>1.6929000000000003</v>
          </cell>
        </row>
        <row r="287">
          <cell r="G287">
            <v>1.6929000000000003</v>
          </cell>
        </row>
        <row r="297">
          <cell r="G297">
            <v>2.37</v>
          </cell>
        </row>
        <row r="308">
          <cell r="G308">
            <v>1.7930000000000001</v>
          </cell>
        </row>
        <row r="317">
          <cell r="G317">
            <v>1.0975000000000001</v>
          </cell>
        </row>
      </sheetData>
      <sheetData sheetId="4">
        <row r="10">
          <cell r="G10">
            <v>0.0155</v>
          </cell>
        </row>
        <row r="14">
          <cell r="G14">
            <v>0.00125</v>
          </cell>
        </row>
        <row r="18">
          <cell r="G18">
            <v>0.0023</v>
          </cell>
        </row>
        <row r="23">
          <cell r="G23">
            <v>0.018317</v>
          </cell>
        </row>
        <row r="27">
          <cell r="G27">
            <v>0.00125</v>
          </cell>
        </row>
        <row r="37">
          <cell r="G37">
            <v>1.7222</v>
          </cell>
        </row>
        <row r="42">
          <cell r="G42">
            <v>0.00295</v>
          </cell>
        </row>
        <row r="46">
          <cell r="G46">
            <v>0.002</v>
          </cell>
        </row>
        <row r="52">
          <cell r="G52">
            <v>0.7785</v>
          </cell>
        </row>
        <row r="63">
          <cell r="G63">
            <v>0.8834345000000001</v>
          </cell>
        </row>
        <row r="79">
          <cell r="G79">
            <v>1.1882000000000001</v>
          </cell>
        </row>
        <row r="86">
          <cell r="G86">
            <v>0.002</v>
          </cell>
        </row>
        <row r="94">
          <cell r="G94">
            <v>1.0579345</v>
          </cell>
        </row>
        <row r="100">
          <cell r="G100">
            <v>0.002</v>
          </cell>
        </row>
        <row r="104">
          <cell r="G104">
            <v>0.0035</v>
          </cell>
        </row>
        <row r="108">
          <cell r="G108">
            <v>0.006500000000000001</v>
          </cell>
        </row>
        <row r="111">
          <cell r="G111">
            <v>0.002</v>
          </cell>
        </row>
        <row r="116">
          <cell r="G116">
            <v>0.0085</v>
          </cell>
        </row>
      </sheetData>
      <sheetData sheetId="5">
        <row r="13">
          <cell r="G13">
            <v>0.8235</v>
          </cell>
        </row>
        <row r="20">
          <cell r="G20">
            <v>0.8235</v>
          </cell>
        </row>
        <row r="27">
          <cell r="G27">
            <v>0.8235</v>
          </cell>
        </row>
        <row r="41">
          <cell r="G41">
            <v>0.8235</v>
          </cell>
        </row>
        <row r="55">
          <cell r="G55">
            <v>0.8235</v>
          </cell>
        </row>
      </sheetData>
      <sheetData sheetId="6">
        <row r="12">
          <cell r="G12">
            <v>0.8160000000000001</v>
          </cell>
        </row>
        <row r="18">
          <cell r="G18">
            <v>0.8160000000000001</v>
          </cell>
        </row>
        <row r="34">
          <cell r="G34">
            <v>13.216000000000001</v>
          </cell>
        </row>
        <row r="51">
          <cell r="G51">
            <v>7.291099999999999</v>
          </cell>
        </row>
      </sheetData>
      <sheetData sheetId="7">
        <row r="11">
          <cell r="G11">
            <v>0.8200000000000001</v>
          </cell>
        </row>
        <row r="16">
          <cell r="G16">
            <v>0.8200000000000001</v>
          </cell>
        </row>
        <row r="23">
          <cell r="G23">
            <v>0.8200000000000001</v>
          </cell>
        </row>
        <row r="29">
          <cell r="G29">
            <v>0.8200000000000001</v>
          </cell>
        </row>
        <row r="39">
          <cell r="G39">
            <v>1.839</v>
          </cell>
        </row>
        <row r="45">
          <cell r="G45">
            <v>1.1268</v>
          </cell>
        </row>
        <row r="50">
          <cell r="G50">
            <v>0.87</v>
          </cell>
        </row>
      </sheetData>
      <sheetData sheetId="8">
        <row r="17">
          <cell r="G17">
            <v>0.24119159999999998</v>
          </cell>
        </row>
        <row r="28">
          <cell r="G28">
            <v>0.24119159999999998</v>
          </cell>
        </row>
        <row r="37">
          <cell r="G37">
            <v>1.00118</v>
          </cell>
        </row>
        <row r="47">
          <cell r="G47">
            <v>1.0346</v>
          </cell>
        </row>
        <row r="57">
          <cell r="G57">
            <v>1.4192268000000001</v>
          </cell>
        </row>
        <row r="68">
          <cell r="G68">
            <v>2.6885044</v>
          </cell>
        </row>
        <row r="78">
          <cell r="G78">
            <v>1.5292360999999999</v>
          </cell>
        </row>
      </sheetData>
      <sheetData sheetId="9">
        <row r="10">
          <cell r="G10">
            <v>0.011399999999999999</v>
          </cell>
        </row>
        <row r="17">
          <cell r="G17">
            <v>1.9099</v>
          </cell>
        </row>
      </sheetData>
      <sheetData sheetId="10">
        <row r="12">
          <cell r="G12">
            <v>0.16</v>
          </cell>
        </row>
        <row r="18">
          <cell r="G18">
            <v>4.69</v>
          </cell>
        </row>
        <row r="23">
          <cell r="G23">
            <v>4.69</v>
          </cell>
        </row>
        <row r="61">
          <cell r="G61">
            <v>5.6850000000000005</v>
          </cell>
        </row>
        <row r="66">
          <cell r="G66">
            <v>46900</v>
          </cell>
        </row>
        <row r="94">
          <cell r="G94">
            <v>0.16</v>
          </cell>
        </row>
        <row r="99">
          <cell r="G99">
            <v>4.69</v>
          </cell>
        </row>
        <row r="105">
          <cell r="G105">
            <v>6.680000000000001</v>
          </cell>
        </row>
        <row r="111">
          <cell r="G111">
            <v>6.680000000000001</v>
          </cell>
        </row>
        <row r="132">
          <cell r="G132">
            <v>46900</v>
          </cell>
        </row>
        <row r="142">
          <cell r="G142">
            <v>4.69</v>
          </cell>
        </row>
        <row r="153">
          <cell r="G153">
            <v>4.69</v>
          </cell>
        </row>
        <row r="163">
          <cell r="G163">
            <v>4.69</v>
          </cell>
        </row>
        <row r="174">
          <cell r="G174">
            <v>4.69</v>
          </cell>
        </row>
        <row r="179">
          <cell r="G179">
            <v>4.69</v>
          </cell>
        </row>
        <row r="184">
          <cell r="G184">
            <v>4.69</v>
          </cell>
        </row>
        <row r="189">
          <cell r="G189">
            <v>4.69</v>
          </cell>
        </row>
        <row r="194">
          <cell r="G194">
            <v>4.69</v>
          </cell>
        </row>
        <row r="199">
          <cell r="G199">
            <v>4.69</v>
          </cell>
        </row>
        <row r="204">
          <cell r="G204">
            <v>4.69</v>
          </cell>
        </row>
        <row r="209">
          <cell r="G209">
            <v>4.69</v>
          </cell>
        </row>
        <row r="214">
          <cell r="G214">
            <v>4.69</v>
          </cell>
        </row>
        <row r="219">
          <cell r="G219">
            <v>4.69</v>
          </cell>
        </row>
        <row r="229">
          <cell r="G229">
            <v>4.69</v>
          </cell>
        </row>
        <row r="234">
          <cell r="G234">
            <v>4.69</v>
          </cell>
        </row>
        <row r="244">
          <cell r="G244">
            <v>4.69</v>
          </cell>
        </row>
        <row r="272">
          <cell r="G272">
            <v>4.53</v>
          </cell>
        </row>
      </sheetData>
      <sheetData sheetId="11">
        <row r="12">
          <cell r="G12">
            <v>0.16</v>
          </cell>
          <cell r="N12">
            <v>0.25</v>
          </cell>
        </row>
        <row r="20">
          <cell r="G20">
            <v>1.96765995</v>
          </cell>
          <cell r="N20">
            <v>0.25</v>
          </cell>
        </row>
        <row r="28">
          <cell r="G28">
            <v>3.7594799499999993</v>
          </cell>
          <cell r="N28">
            <v>0.33999999999999997</v>
          </cell>
        </row>
        <row r="36">
          <cell r="N36">
            <v>0.25</v>
          </cell>
        </row>
        <row r="43">
          <cell r="G43">
            <v>1.195892</v>
          </cell>
        </row>
        <row r="58">
          <cell r="N58">
            <v>0.25</v>
          </cell>
        </row>
        <row r="65">
          <cell r="G65">
            <v>1.195892</v>
          </cell>
        </row>
        <row r="81">
          <cell r="G81">
            <v>6.52320625</v>
          </cell>
          <cell r="N81">
            <v>1.425</v>
          </cell>
        </row>
        <row r="88">
          <cell r="G88">
            <v>0.8245352</v>
          </cell>
          <cell r="N88">
            <v>0.25</v>
          </cell>
        </row>
        <row r="96">
          <cell r="G96">
            <v>0.28824265</v>
          </cell>
          <cell r="N96">
            <v>0.25</v>
          </cell>
        </row>
        <row r="103">
          <cell r="G103">
            <v>0.41648529999999995</v>
          </cell>
          <cell r="N103">
            <v>0.33999999999999997</v>
          </cell>
        </row>
        <row r="111">
          <cell r="G111">
            <v>0.28824265</v>
          </cell>
          <cell r="N111">
            <v>0.25</v>
          </cell>
        </row>
        <row r="118">
          <cell r="G118">
            <v>0.41648529999999995</v>
          </cell>
          <cell r="N118">
            <v>0.33999999999999997</v>
          </cell>
        </row>
        <row r="124">
          <cell r="G124">
            <v>0.16</v>
          </cell>
          <cell r="N124">
            <v>0.16</v>
          </cell>
        </row>
        <row r="131">
          <cell r="G131">
            <v>1.9445662499999998</v>
          </cell>
          <cell r="N131">
            <v>0.25</v>
          </cell>
        </row>
        <row r="140">
          <cell r="G140">
            <v>5.123854400000001</v>
          </cell>
          <cell r="N140">
            <v>2.33</v>
          </cell>
        </row>
        <row r="149">
          <cell r="G149">
            <v>6.2153896</v>
          </cell>
          <cell r="N149">
            <v>2.6</v>
          </cell>
        </row>
        <row r="160">
          <cell r="N160">
            <v>4.680000000000001</v>
          </cell>
        </row>
        <row r="171">
          <cell r="N171">
            <v>4.7700000000000005</v>
          </cell>
        </row>
        <row r="180">
          <cell r="N180">
            <v>0.25</v>
          </cell>
        </row>
        <row r="187">
          <cell r="G187">
            <v>1.9518199999999999</v>
          </cell>
        </row>
        <row r="194">
          <cell r="N194">
            <v>0.25</v>
          </cell>
        </row>
        <row r="209">
          <cell r="G209">
            <v>1.195892</v>
          </cell>
          <cell r="N209">
            <v>0.25</v>
          </cell>
        </row>
        <row r="223">
          <cell r="G223">
            <v>2.2317839999999998</v>
          </cell>
          <cell r="N223">
            <v>0.33999999999999997</v>
          </cell>
        </row>
        <row r="238">
          <cell r="G238">
            <v>1.195892</v>
          </cell>
          <cell r="N238">
            <v>0.25</v>
          </cell>
        </row>
        <row r="245">
          <cell r="G245">
            <v>2.2317839999999998</v>
          </cell>
          <cell r="N245">
            <v>0.33999999999999997</v>
          </cell>
        </row>
        <row r="252">
          <cell r="G252">
            <v>0.5086649</v>
          </cell>
          <cell r="N252">
            <v>0.25</v>
          </cell>
        </row>
        <row r="259">
          <cell r="G259">
            <v>0.8245352</v>
          </cell>
          <cell r="N259">
            <v>0.25</v>
          </cell>
        </row>
        <row r="266">
          <cell r="G266">
            <v>0.8245352</v>
          </cell>
          <cell r="N266">
            <v>0.25</v>
          </cell>
        </row>
        <row r="273">
          <cell r="G273">
            <v>0.5086649</v>
          </cell>
          <cell r="N273">
            <v>0.25</v>
          </cell>
        </row>
        <row r="280">
          <cell r="G280">
            <v>0.8245352</v>
          </cell>
          <cell r="N280">
            <v>0.25</v>
          </cell>
        </row>
        <row r="287">
          <cell r="G287">
            <v>0.8245352</v>
          </cell>
          <cell r="N287">
            <v>0.25</v>
          </cell>
        </row>
        <row r="294">
          <cell r="G294">
            <v>2.2317839999999998</v>
          </cell>
          <cell r="N294">
            <v>0.33999999999999997</v>
          </cell>
        </row>
        <row r="301">
          <cell r="G301">
            <v>1.195892</v>
          </cell>
          <cell r="N301">
            <v>0.25</v>
          </cell>
        </row>
        <row r="315">
          <cell r="G315">
            <v>2.2317839999999998</v>
          </cell>
          <cell r="N315">
            <v>0.33999999999999997</v>
          </cell>
        </row>
        <row r="322">
          <cell r="G322">
            <v>2.1536055999999997</v>
          </cell>
          <cell r="N322">
            <v>0.43000000000000005</v>
          </cell>
        </row>
        <row r="336">
          <cell r="G336">
            <v>1.9518199999999999</v>
          </cell>
          <cell r="N336">
            <v>0.25</v>
          </cell>
        </row>
        <row r="343">
          <cell r="G343">
            <v>0.5086649</v>
          </cell>
          <cell r="N343">
            <v>0.25</v>
          </cell>
        </row>
        <row r="376">
          <cell r="G376">
            <v>1.8076599500000001</v>
          </cell>
          <cell r="N376">
            <v>0.09</v>
          </cell>
        </row>
        <row r="393">
          <cell r="N393">
            <v>16.19</v>
          </cell>
        </row>
        <row r="404">
          <cell r="N404">
            <v>21.146</v>
          </cell>
        </row>
        <row r="415">
          <cell r="N415">
            <v>0.51</v>
          </cell>
        </row>
        <row r="426">
          <cell r="N426">
            <v>0.888</v>
          </cell>
        </row>
        <row r="437">
          <cell r="N437">
            <v>15.386</v>
          </cell>
        </row>
        <row r="446">
          <cell r="G446">
            <v>5.17</v>
          </cell>
        </row>
        <row r="458">
          <cell r="G458">
            <v>76.967</v>
          </cell>
        </row>
        <row r="465">
          <cell r="G465">
            <v>5.17</v>
          </cell>
        </row>
        <row r="477">
          <cell r="G477">
            <v>76.967</v>
          </cell>
        </row>
        <row r="496">
          <cell r="G496">
            <v>76.967</v>
          </cell>
        </row>
        <row r="503">
          <cell r="G503">
            <v>5.17</v>
          </cell>
        </row>
        <row r="515">
          <cell r="G515">
            <v>76.967</v>
          </cell>
        </row>
        <row r="522">
          <cell r="G522">
            <v>5.17</v>
          </cell>
        </row>
        <row r="541">
          <cell r="G541">
            <v>5.17</v>
          </cell>
        </row>
        <row r="553">
          <cell r="G553">
            <v>77.17699999999999</v>
          </cell>
        </row>
        <row r="560">
          <cell r="G560">
            <v>5.17</v>
          </cell>
        </row>
        <row r="572">
          <cell r="G572">
            <v>77.17699999999999</v>
          </cell>
        </row>
        <row r="579">
          <cell r="G579">
            <v>5.17</v>
          </cell>
        </row>
        <row r="591">
          <cell r="G591">
            <v>77.17699999999999</v>
          </cell>
        </row>
        <row r="598">
          <cell r="G598">
            <v>5.17</v>
          </cell>
        </row>
        <row r="621">
          <cell r="G621">
            <v>76.967</v>
          </cell>
        </row>
        <row r="630">
          <cell r="G630">
            <v>0.30000000000000004</v>
          </cell>
        </row>
        <row r="636">
          <cell r="G636">
            <v>0.44000000000000006</v>
          </cell>
        </row>
        <row r="642">
          <cell r="G642">
            <v>0.30000000000000004</v>
          </cell>
        </row>
        <row r="648">
          <cell r="G648">
            <v>0.30000000000000004</v>
          </cell>
        </row>
        <row r="655">
          <cell r="G655">
            <v>0.30000000000000004</v>
          </cell>
        </row>
        <row r="661">
          <cell r="G661">
            <v>0.30000000000000004</v>
          </cell>
        </row>
        <row r="667">
          <cell r="G667">
            <v>0.44000000000000006</v>
          </cell>
        </row>
        <row r="673">
          <cell r="G673">
            <v>0.44000000000000006</v>
          </cell>
        </row>
        <row r="679">
          <cell r="G679">
            <v>0.44000000000000006</v>
          </cell>
        </row>
        <row r="685">
          <cell r="G685">
            <v>0.44000000000000006</v>
          </cell>
        </row>
        <row r="691">
          <cell r="G691">
            <v>0.30000000000000004</v>
          </cell>
        </row>
        <row r="697">
          <cell r="G697">
            <v>0.30000000000000004</v>
          </cell>
        </row>
        <row r="703">
          <cell r="G703">
            <v>0.30000000000000004</v>
          </cell>
        </row>
        <row r="709">
          <cell r="G709">
            <v>0.30000000000000004</v>
          </cell>
        </row>
        <row r="715">
          <cell r="G715">
            <v>0.37</v>
          </cell>
        </row>
        <row r="721">
          <cell r="G721">
            <v>0.37</v>
          </cell>
        </row>
        <row r="727">
          <cell r="G727">
            <v>0.51</v>
          </cell>
        </row>
        <row r="733">
          <cell r="G733">
            <v>0.51</v>
          </cell>
        </row>
        <row r="739">
          <cell r="G739">
            <v>0.44000000000000006</v>
          </cell>
        </row>
        <row r="746">
          <cell r="G746">
            <v>0.30000000000000004</v>
          </cell>
        </row>
        <row r="752">
          <cell r="G752">
            <v>0.44000000000000006</v>
          </cell>
        </row>
        <row r="758">
          <cell r="G758">
            <v>0.30000000000000004</v>
          </cell>
        </row>
        <row r="764">
          <cell r="G764">
            <v>0.30000000000000004</v>
          </cell>
        </row>
        <row r="770">
          <cell r="G770">
            <v>0.30000000000000004</v>
          </cell>
        </row>
        <row r="776">
          <cell r="G776">
            <v>0.30000000000000004</v>
          </cell>
        </row>
        <row r="782">
          <cell r="G782">
            <v>0.44000000000000006</v>
          </cell>
        </row>
        <row r="788">
          <cell r="G788">
            <v>0.30000000000000004</v>
          </cell>
        </row>
        <row r="795">
          <cell r="G795">
            <v>0.44000000000000006</v>
          </cell>
        </row>
        <row r="801">
          <cell r="G801">
            <v>0.30000000000000004</v>
          </cell>
        </row>
        <row r="807">
          <cell r="G807">
            <v>0.30000000000000004</v>
          </cell>
        </row>
        <row r="813">
          <cell r="G813">
            <v>0.30000000000000004</v>
          </cell>
        </row>
        <row r="819">
          <cell r="G819">
            <v>0.37</v>
          </cell>
        </row>
        <row r="825">
          <cell r="G825">
            <v>0.44000000000000006</v>
          </cell>
        </row>
        <row r="831">
          <cell r="G831">
            <v>0.44000000000000006</v>
          </cell>
        </row>
        <row r="837">
          <cell r="G837">
            <v>0.30000000000000004</v>
          </cell>
        </row>
        <row r="851">
          <cell r="G851">
            <v>5.6528</v>
          </cell>
        </row>
        <row r="862">
          <cell r="G862">
            <v>8.770000000000001</v>
          </cell>
        </row>
        <row r="876">
          <cell r="G876">
            <v>5.7700000000000005</v>
          </cell>
        </row>
        <row r="889">
          <cell r="G889">
            <v>0.5650000000000001</v>
          </cell>
        </row>
        <row r="899">
          <cell r="G899">
            <v>0.549</v>
          </cell>
        </row>
        <row r="908">
          <cell r="G908">
            <v>0.3335</v>
          </cell>
        </row>
        <row r="918">
          <cell r="G918">
            <v>6.809999999999999</v>
          </cell>
        </row>
        <row r="929">
          <cell r="G929">
            <v>3.4245</v>
          </cell>
        </row>
        <row r="938">
          <cell r="G938">
            <v>15.438999999999997</v>
          </cell>
        </row>
        <row r="947">
          <cell r="G947">
            <v>0.192</v>
          </cell>
        </row>
        <row r="956">
          <cell r="G956">
            <v>0.3915</v>
          </cell>
        </row>
        <row r="961">
          <cell r="G961">
            <v>0.2315</v>
          </cell>
        </row>
        <row r="971">
          <cell r="G971">
            <v>0.4115</v>
          </cell>
        </row>
        <row r="978">
          <cell r="G978">
            <v>0.155</v>
          </cell>
        </row>
        <row r="982">
          <cell r="G982">
            <v>0.18</v>
          </cell>
        </row>
        <row r="986">
          <cell r="G986">
            <v>0.03</v>
          </cell>
        </row>
        <row r="992">
          <cell r="G992">
            <v>0.64</v>
          </cell>
        </row>
      </sheetData>
      <sheetData sheetId="12">
        <row r="20">
          <cell r="H20">
            <v>4.4080994</v>
          </cell>
        </row>
        <row r="21">
          <cell r="G21">
            <v>53500</v>
          </cell>
        </row>
        <row r="58">
          <cell r="H58">
            <v>16.188</v>
          </cell>
        </row>
        <row r="95">
          <cell r="H95">
            <v>18.279999999999998</v>
          </cell>
        </row>
        <row r="133">
          <cell r="H133">
            <v>70.56</v>
          </cell>
        </row>
      </sheetData>
      <sheetData sheetId="13">
        <row r="9">
          <cell r="J9">
            <v>0.0954</v>
          </cell>
        </row>
        <row r="14">
          <cell r="J14">
            <v>0.0954</v>
          </cell>
        </row>
        <row r="19">
          <cell r="J19">
            <v>0.5331999999999999</v>
          </cell>
        </row>
        <row r="25">
          <cell r="J25">
            <v>0.0826</v>
          </cell>
        </row>
        <row r="30">
          <cell r="J30">
            <v>0.05601</v>
          </cell>
        </row>
        <row r="34">
          <cell r="J34">
            <v>0.056209999999999996</v>
          </cell>
        </row>
        <row r="37">
          <cell r="J37">
            <v>0.116095</v>
          </cell>
        </row>
        <row r="40">
          <cell r="J40">
            <v>0.045937</v>
          </cell>
        </row>
        <row r="43">
          <cell r="J43">
            <v>0.16358199999999998</v>
          </cell>
        </row>
        <row r="46">
          <cell r="J46">
            <v>0.163267</v>
          </cell>
        </row>
        <row r="49">
          <cell r="J49">
            <v>0.0574</v>
          </cell>
        </row>
        <row r="54">
          <cell r="J54">
            <v>0</v>
          </cell>
        </row>
        <row r="57">
          <cell r="J57">
            <v>0.01</v>
          </cell>
        </row>
        <row r="61">
          <cell r="J61">
            <v>0.059199999999999996</v>
          </cell>
        </row>
        <row r="64">
          <cell r="J64">
            <v>0.40800000000000003</v>
          </cell>
        </row>
        <row r="67">
          <cell r="J67">
            <v>0.22236999999999998</v>
          </cell>
        </row>
        <row r="74">
          <cell r="J74">
            <v>0.12465999999999999</v>
          </cell>
        </row>
        <row r="80">
          <cell r="J80">
            <v>0</v>
          </cell>
        </row>
        <row r="81">
          <cell r="J81">
            <v>0.388</v>
          </cell>
        </row>
        <row r="84">
          <cell r="J84">
            <v>0.11055999999999999</v>
          </cell>
        </row>
        <row r="92">
          <cell r="J92">
            <v>0.18599000000000002</v>
          </cell>
        </row>
        <row r="97">
          <cell r="J97">
            <v>0.48743</v>
          </cell>
        </row>
        <row r="102">
          <cell r="J102">
            <v>0.24256</v>
          </cell>
        </row>
        <row r="107">
          <cell r="J107">
            <v>0.21892999999999999</v>
          </cell>
        </row>
        <row r="112">
          <cell r="J112">
            <v>1.1368</v>
          </cell>
        </row>
        <row r="118">
          <cell r="J118">
            <v>0.26761999999999997</v>
          </cell>
        </row>
        <row r="119">
          <cell r="J119">
            <v>0.15369</v>
          </cell>
        </row>
        <row r="128">
          <cell r="J128">
            <v>2900</v>
          </cell>
        </row>
        <row r="133">
          <cell r="J133">
            <v>0.7519800000000001</v>
          </cell>
        </row>
        <row r="138">
          <cell r="J138">
            <v>0.40246</v>
          </cell>
        </row>
        <row r="143">
          <cell r="J143">
            <v>2.9009900000000006</v>
          </cell>
        </row>
        <row r="148">
          <cell r="J148">
            <v>1.35783</v>
          </cell>
        </row>
        <row r="153">
          <cell r="J153">
            <v>0.28492</v>
          </cell>
        </row>
        <row r="158">
          <cell r="J158">
            <v>0.29233000000000003</v>
          </cell>
        </row>
        <row r="163">
          <cell r="J163">
            <v>0.18552999999999997</v>
          </cell>
        </row>
        <row r="168">
          <cell r="J168">
            <v>0.8551300000000002</v>
          </cell>
        </row>
        <row r="173">
          <cell r="J173">
            <v>0.30573</v>
          </cell>
        </row>
        <row r="178">
          <cell r="J178">
            <v>0.41523</v>
          </cell>
        </row>
        <row r="183">
          <cell r="J183">
            <v>5.43073</v>
          </cell>
        </row>
        <row r="189">
          <cell r="J189">
            <v>1.4803000000000002</v>
          </cell>
        </row>
        <row r="206">
          <cell r="H206" t="str">
            <v>мужчины</v>
          </cell>
          <cell r="J206">
            <v>3.343</v>
          </cell>
        </row>
        <row r="207">
          <cell r="H207" t="str">
            <v>женщины</v>
          </cell>
          <cell r="J207">
            <v>9.8866</v>
          </cell>
        </row>
        <row r="208">
          <cell r="H208" t="str">
            <v>СА 19-9</v>
          </cell>
          <cell r="J208">
            <v>11.5797</v>
          </cell>
        </row>
        <row r="223">
          <cell r="J223">
            <v>0.8747200000000002</v>
          </cell>
        </row>
        <row r="230">
          <cell r="J230">
            <v>1.62919</v>
          </cell>
        </row>
        <row r="238">
          <cell r="J238">
            <v>0.3777765</v>
          </cell>
        </row>
        <row r="245">
          <cell r="J245">
            <v>52400</v>
          </cell>
        </row>
        <row r="252">
          <cell r="J252">
            <v>1.01074</v>
          </cell>
        </row>
        <row r="297">
          <cell r="J297">
            <v>2.17273755</v>
          </cell>
        </row>
        <row r="316">
          <cell r="J316">
            <v>3.1555999999999997</v>
          </cell>
        </row>
        <row r="328">
          <cell r="J328">
            <v>3.272</v>
          </cell>
        </row>
        <row r="336">
          <cell r="J336">
            <v>3.441</v>
          </cell>
        </row>
        <row r="344">
          <cell r="J344">
            <v>3.4372</v>
          </cell>
        </row>
        <row r="352">
          <cell r="J352">
            <v>3.5332</v>
          </cell>
        </row>
        <row r="360">
          <cell r="J360">
            <v>2.9629999999999996</v>
          </cell>
        </row>
        <row r="369">
          <cell r="J369">
            <v>5.734749999999999</v>
          </cell>
        </row>
        <row r="382">
          <cell r="J382">
            <v>5.792420000000001</v>
          </cell>
        </row>
        <row r="408">
          <cell r="J408">
            <v>0.285165</v>
          </cell>
        </row>
        <row r="424">
          <cell r="J424">
            <v>1.8250999999999997</v>
          </cell>
        </row>
        <row r="436">
          <cell r="J436">
            <v>2.9642</v>
          </cell>
        </row>
        <row r="448">
          <cell r="J448">
            <v>1.8861999999999999</v>
          </cell>
        </row>
        <row r="461">
          <cell r="J461">
            <v>10.408499999999998</v>
          </cell>
        </row>
      </sheetData>
      <sheetData sheetId="14">
        <row r="51">
          <cell r="G51">
            <v>113.29384000000002</v>
          </cell>
        </row>
        <row r="97">
          <cell r="G97">
            <v>152.9971</v>
          </cell>
        </row>
        <row r="129">
          <cell r="G129">
            <v>43.2601</v>
          </cell>
        </row>
      </sheetData>
      <sheetData sheetId="16">
        <row r="8">
          <cell r="J8">
            <v>0.998332</v>
          </cell>
        </row>
        <row r="15">
          <cell r="J15">
            <v>5.389772000000001</v>
          </cell>
        </row>
        <row r="30">
          <cell r="J30">
            <v>4.506437</v>
          </cell>
        </row>
        <row r="47">
          <cell r="J47">
            <v>6.412932</v>
          </cell>
        </row>
        <row r="66">
          <cell r="J66">
            <v>5.097132</v>
          </cell>
        </row>
        <row r="82">
          <cell r="J82">
            <v>3.8726920000000007</v>
          </cell>
        </row>
        <row r="96">
          <cell r="J96">
            <v>3.0564370000000003</v>
          </cell>
        </row>
        <row r="110">
          <cell r="J110">
            <v>30.562802</v>
          </cell>
        </row>
        <row r="132">
          <cell r="J132">
            <v>3.103132</v>
          </cell>
        </row>
        <row r="145">
          <cell r="J145">
            <v>4.86142</v>
          </cell>
        </row>
        <row r="158">
          <cell r="J158">
            <v>4.86142</v>
          </cell>
        </row>
        <row r="161">
          <cell r="J161">
            <v>4.86142</v>
          </cell>
        </row>
        <row r="165">
          <cell r="J165">
            <v>3.040512</v>
          </cell>
        </row>
        <row r="178">
          <cell r="J178">
            <v>2.9345120000000002</v>
          </cell>
        </row>
        <row r="190">
          <cell r="J190">
            <v>2.9345120000000002</v>
          </cell>
        </row>
        <row r="202">
          <cell r="J202">
            <v>2.9345120000000002</v>
          </cell>
        </row>
        <row r="214">
          <cell r="J214">
            <v>6.099639999999999</v>
          </cell>
        </row>
        <row r="225">
          <cell r="J225">
            <v>3.768692</v>
          </cell>
        </row>
        <row r="238">
          <cell r="J238">
            <v>3.0264369999999996</v>
          </cell>
        </row>
        <row r="252">
          <cell r="J252">
            <v>30.562801999999998</v>
          </cell>
        </row>
        <row r="275">
          <cell r="J275">
            <v>2.893132</v>
          </cell>
        </row>
        <row r="287">
          <cell r="J287">
            <v>3.1017228</v>
          </cell>
        </row>
        <row r="367">
          <cell r="J367">
            <v>12.389899999999999</v>
          </cell>
        </row>
      </sheetData>
      <sheetData sheetId="18">
        <row r="39">
          <cell r="I39">
            <v>50100</v>
          </cell>
        </row>
        <row r="49">
          <cell r="I49">
            <v>4100</v>
          </cell>
        </row>
        <row r="57">
          <cell r="I57">
            <v>16600</v>
          </cell>
        </row>
        <row r="74">
          <cell r="I74">
            <v>49700</v>
          </cell>
        </row>
        <row r="84">
          <cell r="I84">
            <v>4100</v>
          </cell>
        </row>
        <row r="105">
          <cell r="I105">
            <v>4400</v>
          </cell>
        </row>
        <row r="119">
          <cell r="I119">
            <v>57300</v>
          </cell>
        </row>
      </sheetData>
      <sheetData sheetId="19">
        <row r="14">
          <cell r="G14">
            <v>1.1239999999999999</v>
          </cell>
        </row>
        <row r="29">
          <cell r="G29">
            <v>2.74096</v>
          </cell>
        </row>
        <row r="43">
          <cell r="G43">
            <v>3.9409599999999996</v>
          </cell>
        </row>
        <row r="57">
          <cell r="G57">
            <v>6.34096</v>
          </cell>
        </row>
        <row r="66">
          <cell r="G66">
            <v>1.101</v>
          </cell>
        </row>
        <row r="78">
          <cell r="G78">
            <v>1.34496</v>
          </cell>
        </row>
        <row r="87">
          <cell r="G87">
            <v>1.101</v>
          </cell>
        </row>
        <row r="93">
          <cell r="G93">
            <v>0.247</v>
          </cell>
        </row>
      </sheetData>
      <sheetData sheetId="20">
        <row r="21">
          <cell r="I21">
            <v>29300</v>
          </cell>
        </row>
        <row r="38">
          <cell r="I38">
            <v>46900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I16">
            <v>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selection activeCell="L68" sqref="L68"/>
    </sheetView>
  </sheetViews>
  <sheetFormatPr defaultColWidth="9.140625" defaultRowHeight="12.75"/>
  <cols>
    <col min="1" max="1" width="3.8515625" style="876" customWidth="1"/>
    <col min="2" max="2" width="9.140625" style="0" hidden="1" customWidth="1"/>
    <col min="3" max="4" width="9.140625" style="929" customWidth="1"/>
    <col min="5" max="5" width="18.00390625" style="929" customWidth="1"/>
    <col min="6" max="6" width="11.140625" style="929" customWidth="1"/>
    <col min="7" max="7" width="8.7109375" style="929" customWidth="1"/>
    <col min="8" max="11" width="10.00390625" style="929" customWidth="1"/>
    <col min="12" max="12" width="12.57421875" style="929" customWidth="1"/>
  </cols>
  <sheetData>
    <row r="1" spans="1:12" ht="14.25">
      <c r="A1" s="842"/>
      <c r="B1" s="832"/>
      <c r="C1" s="786"/>
      <c r="D1" s="786"/>
      <c r="E1" s="786"/>
      <c r="F1" s="786"/>
      <c r="G1" s="786"/>
      <c r="H1" s="786"/>
      <c r="I1" s="846"/>
      <c r="J1" s="837" t="s">
        <v>178</v>
      </c>
      <c r="K1" s="838"/>
      <c r="L1" s="839"/>
    </row>
    <row r="2" spans="1:12" ht="14.25">
      <c r="A2" s="842"/>
      <c r="B2" s="832"/>
      <c r="C2" s="786"/>
      <c r="D2" s="786"/>
      <c r="E2" s="786"/>
      <c r="F2" s="786"/>
      <c r="G2" s="786"/>
      <c r="H2" s="786"/>
      <c r="I2" s="846"/>
      <c r="J2" s="837" t="s">
        <v>181</v>
      </c>
      <c r="K2" s="838"/>
      <c r="L2" s="839"/>
    </row>
    <row r="3" spans="1:12" ht="14.25">
      <c r="A3" s="842"/>
      <c r="B3" s="832"/>
      <c r="C3" s="786"/>
      <c r="D3" s="786"/>
      <c r="E3" s="786"/>
      <c r="F3" s="786"/>
      <c r="G3" s="786"/>
      <c r="H3" s="786"/>
      <c r="I3" s="846"/>
      <c r="J3" s="837" t="s">
        <v>179</v>
      </c>
      <c r="K3" s="838"/>
      <c r="L3" s="839"/>
    </row>
    <row r="4" spans="1:12" ht="14.25">
      <c r="A4" s="842"/>
      <c r="B4" s="832"/>
      <c r="C4" s="786"/>
      <c r="D4" s="786"/>
      <c r="E4" s="786"/>
      <c r="F4" s="786"/>
      <c r="G4" s="786"/>
      <c r="H4" s="786"/>
      <c r="I4" s="846"/>
      <c r="J4" s="840"/>
      <c r="K4" s="838"/>
      <c r="L4" s="841" t="s">
        <v>405</v>
      </c>
    </row>
    <row r="5" spans="1:12" ht="14.25">
      <c r="A5" s="842"/>
      <c r="B5" s="832"/>
      <c r="C5" s="786"/>
      <c r="D5" s="786"/>
      <c r="E5" s="786"/>
      <c r="F5" s="786"/>
      <c r="G5" s="786"/>
      <c r="H5" s="786"/>
      <c r="I5" s="846"/>
      <c r="J5" s="920">
        <v>1</v>
      </c>
      <c r="K5" s="921" t="s">
        <v>520</v>
      </c>
      <c r="L5" s="922">
        <v>2017</v>
      </c>
    </row>
    <row r="6" spans="1:12" ht="14.25">
      <c r="A6" s="842"/>
      <c r="B6" s="832"/>
      <c r="C6" s="786"/>
      <c r="D6" s="786"/>
      <c r="E6" s="786"/>
      <c r="F6" s="786"/>
      <c r="G6" s="786"/>
      <c r="H6" s="786"/>
      <c r="I6" s="846"/>
      <c r="J6" s="840"/>
      <c r="K6" s="923"/>
      <c r="L6" s="841"/>
    </row>
    <row r="7" spans="1:12" ht="18.75">
      <c r="A7" s="2149" t="s">
        <v>439</v>
      </c>
      <c r="B7" s="2149"/>
      <c r="C7" s="2149"/>
      <c r="D7" s="2149"/>
      <c r="E7" s="2149"/>
      <c r="F7" s="2149"/>
      <c r="G7" s="2149"/>
      <c r="H7" s="2149"/>
      <c r="I7" s="2149"/>
      <c r="J7" s="2149"/>
      <c r="K7" s="2149"/>
      <c r="L7" s="2149"/>
    </row>
    <row r="8" spans="1:12" ht="18.75">
      <c r="A8" s="2149" t="s">
        <v>833</v>
      </c>
      <c r="B8" s="2149"/>
      <c r="C8" s="2149"/>
      <c r="D8" s="2149"/>
      <c r="E8" s="2149"/>
      <c r="F8" s="2149"/>
      <c r="G8" s="2149"/>
      <c r="H8" s="2149"/>
      <c r="I8" s="2149"/>
      <c r="J8" s="2149"/>
      <c r="K8" s="2149"/>
      <c r="L8" s="2149"/>
    </row>
    <row r="9" spans="1:12" ht="19.5">
      <c r="A9" s="2150" t="s">
        <v>328</v>
      </c>
      <c r="B9" s="2150"/>
      <c r="C9" s="2150"/>
      <c r="D9" s="2150"/>
      <c r="E9" s="2150"/>
      <c r="F9" s="2150"/>
      <c r="G9" s="2150"/>
      <c r="H9" s="2150"/>
      <c r="I9" s="2150"/>
      <c r="J9" s="2150"/>
      <c r="K9" s="2150"/>
      <c r="L9" s="2150"/>
    </row>
    <row r="10" spans="1:12" ht="19.5">
      <c r="A10" s="2150" t="s">
        <v>835</v>
      </c>
      <c r="B10" s="2150"/>
      <c r="C10" s="2150"/>
      <c r="D10" s="2150"/>
      <c r="E10" s="2150"/>
      <c r="F10" s="2150"/>
      <c r="G10" s="2150"/>
      <c r="H10" s="2150"/>
      <c r="I10" s="2150"/>
      <c r="J10" s="2150"/>
      <c r="K10" s="2150"/>
      <c r="L10" s="2150"/>
    </row>
    <row r="11" spans="1:12" ht="12.75">
      <c r="A11" s="2151"/>
      <c r="B11" s="2151"/>
      <c r="C11" s="2151"/>
      <c r="D11" s="2151"/>
      <c r="E11" s="2151"/>
      <c r="F11" s="2151"/>
      <c r="G11" s="2151"/>
      <c r="H11" s="2151"/>
      <c r="I11" s="2151"/>
      <c r="J11" s="2151"/>
      <c r="K11" s="2151"/>
      <c r="L11" s="2151"/>
    </row>
    <row r="12" spans="1:12" ht="14.25">
      <c r="A12" s="877"/>
      <c r="B12" s="833"/>
      <c r="C12" s="736" t="str">
        <f>'прейск-т'!C1313</f>
        <v>вводится с </v>
      </c>
      <c r="D12" s="737" t="str">
        <f>'прейск-т'!D1313</f>
        <v>01.07.2017г.</v>
      </c>
      <c r="E12" s="924"/>
      <c r="F12" s="924"/>
      <c r="G12" s="924"/>
      <c r="H12" s="924"/>
      <c r="I12" s="925"/>
      <c r="J12" s="926"/>
      <c r="K12" s="927"/>
      <c r="L12" s="924"/>
    </row>
    <row r="13" spans="1:12" s="987" customFormat="1" ht="12.75">
      <c r="A13" s="2152" t="s">
        <v>836</v>
      </c>
      <c r="B13" s="2153"/>
      <c r="C13" s="978"/>
      <c r="D13" s="979"/>
      <c r="E13" s="979"/>
      <c r="F13" s="980"/>
      <c r="G13" s="981" t="s">
        <v>837</v>
      </c>
      <c r="H13" s="982" t="s">
        <v>838</v>
      </c>
      <c r="I13" s="983"/>
      <c r="J13" s="984" t="s">
        <v>839</v>
      </c>
      <c r="K13" s="985"/>
      <c r="L13" s="986"/>
    </row>
    <row r="14" spans="1:12" s="987" customFormat="1" ht="12.75">
      <c r="A14" s="2154"/>
      <c r="B14" s="2155"/>
      <c r="C14" s="988"/>
      <c r="D14" s="842"/>
      <c r="E14" s="989"/>
      <c r="F14" s="990"/>
      <c r="G14" s="842" t="s">
        <v>840</v>
      </c>
      <c r="H14" s="991"/>
      <c r="I14" s="992"/>
      <c r="J14" s="993" t="s">
        <v>841</v>
      </c>
      <c r="K14" s="994"/>
      <c r="L14" s="995" t="s">
        <v>842</v>
      </c>
    </row>
    <row r="15" spans="1:12" s="987" customFormat="1" ht="12.75">
      <c r="A15" s="2154"/>
      <c r="B15" s="2155"/>
      <c r="C15" s="988"/>
      <c r="D15" s="842" t="s">
        <v>843</v>
      </c>
      <c r="E15" s="989"/>
      <c r="F15" s="990" t="s">
        <v>844</v>
      </c>
      <c r="G15" s="996" t="s">
        <v>845</v>
      </c>
      <c r="H15" s="842" t="s">
        <v>846</v>
      </c>
      <c r="I15" s="997" t="s">
        <v>847</v>
      </c>
      <c r="J15" s="998"/>
      <c r="K15" s="999"/>
      <c r="L15" s="773" t="s">
        <v>449</v>
      </c>
    </row>
    <row r="16" spans="1:12" s="987" customFormat="1" ht="12.75">
      <c r="A16" s="2154"/>
      <c r="B16" s="2155"/>
      <c r="C16" s="988"/>
      <c r="D16" s="842" t="s">
        <v>848</v>
      </c>
      <c r="E16" s="989"/>
      <c r="F16" s="1000" t="s">
        <v>849</v>
      </c>
      <c r="G16" s="996" t="s">
        <v>850</v>
      </c>
      <c r="H16" s="842" t="s">
        <v>851</v>
      </c>
      <c r="I16" s="990" t="s">
        <v>852</v>
      </c>
      <c r="J16" s="998"/>
      <c r="K16" s="999"/>
      <c r="L16" s="773" t="s">
        <v>853</v>
      </c>
    </row>
    <row r="17" spans="1:12" s="987" customFormat="1" ht="12.75">
      <c r="A17" s="2154"/>
      <c r="B17" s="2155"/>
      <c r="C17" s="988"/>
      <c r="D17" s="989"/>
      <c r="E17" s="989"/>
      <c r="F17" s="1000"/>
      <c r="G17" s="996" t="s">
        <v>847</v>
      </c>
      <c r="H17" s="842" t="s">
        <v>845</v>
      </c>
      <c r="I17" s="990" t="s">
        <v>854</v>
      </c>
      <c r="J17" s="998" t="s">
        <v>855</v>
      </c>
      <c r="K17" s="999" t="s">
        <v>856</v>
      </c>
      <c r="L17" s="773" t="s">
        <v>857</v>
      </c>
    </row>
    <row r="18" spans="1:12" s="987" customFormat="1" ht="12.75">
      <c r="A18" s="2154"/>
      <c r="B18" s="2155"/>
      <c r="C18" s="988"/>
      <c r="D18" s="989"/>
      <c r="E18" s="989"/>
      <c r="F18" s="1000"/>
      <c r="G18" s="996" t="s">
        <v>852</v>
      </c>
      <c r="H18" s="842" t="s">
        <v>858</v>
      </c>
      <c r="I18" s="990" t="s">
        <v>859</v>
      </c>
      <c r="J18" s="998"/>
      <c r="K18" s="999" t="s">
        <v>860</v>
      </c>
      <c r="L18" s="773" t="s">
        <v>861</v>
      </c>
    </row>
    <row r="19" spans="1:12" s="987" customFormat="1" ht="12.75">
      <c r="A19" s="2154"/>
      <c r="B19" s="2155"/>
      <c r="C19" s="988"/>
      <c r="D19" s="989"/>
      <c r="E19" s="989"/>
      <c r="F19" s="1000"/>
      <c r="G19" s="996" t="s">
        <v>854</v>
      </c>
      <c r="H19" s="842"/>
      <c r="I19" s="990" t="s">
        <v>860</v>
      </c>
      <c r="J19" s="1001"/>
      <c r="K19" s="1002"/>
      <c r="L19" s="773"/>
    </row>
    <row r="20" spans="1:12" s="987" customFormat="1" ht="12.75">
      <c r="A20" s="2154"/>
      <c r="B20" s="2155"/>
      <c r="C20" s="988"/>
      <c r="D20" s="989"/>
      <c r="E20" s="989"/>
      <c r="F20" s="1000"/>
      <c r="G20" s="996" t="s">
        <v>859</v>
      </c>
      <c r="H20" s="842"/>
      <c r="I20" s="990"/>
      <c r="J20" s="1001"/>
      <c r="K20" s="1002"/>
      <c r="L20" s="773"/>
    </row>
    <row r="21" spans="1:12" s="987" customFormat="1" ht="12.75">
      <c r="A21" s="2156"/>
      <c r="B21" s="2157"/>
      <c r="C21" s="1003"/>
      <c r="D21" s="1004"/>
      <c r="E21" s="1004"/>
      <c r="F21" s="1005"/>
      <c r="G21" s="992" t="s">
        <v>860</v>
      </c>
      <c r="H21" s="1006" t="s">
        <v>457</v>
      </c>
      <c r="I21" s="1007" t="s">
        <v>457</v>
      </c>
      <c r="J21" s="1008" t="s">
        <v>457</v>
      </c>
      <c r="K21" s="1009" t="s">
        <v>457</v>
      </c>
      <c r="L21" s="1010" t="s">
        <v>457</v>
      </c>
    </row>
    <row r="22" spans="1:12" ht="15">
      <c r="A22" s="2144" t="s">
        <v>862</v>
      </c>
      <c r="B22" s="2144"/>
      <c r="C22" s="843" t="s">
        <v>863</v>
      </c>
      <c r="D22" s="844"/>
      <c r="E22" s="787"/>
      <c r="F22" s="845"/>
      <c r="G22" s="846"/>
      <c r="H22" s="847"/>
      <c r="I22" s="848"/>
      <c r="J22" s="840"/>
      <c r="K22" s="849"/>
      <c r="L22" s="850"/>
    </row>
    <row r="23" spans="1:12" ht="15.75" customHeight="1">
      <c r="A23" s="2145">
        <v>1</v>
      </c>
      <c r="B23" s="2146"/>
      <c r="C23" s="851" t="s">
        <v>331</v>
      </c>
      <c r="D23" s="786"/>
      <c r="E23" s="787"/>
      <c r="F23" s="852" t="s">
        <v>773</v>
      </c>
      <c r="G23" s="846">
        <v>2</v>
      </c>
      <c r="H23" s="847">
        <f>'прейск-т'!H1325</f>
        <v>6.62</v>
      </c>
      <c r="I23" s="852"/>
      <c r="J23" s="840">
        <f>G23*H23</f>
        <v>13.24</v>
      </c>
      <c r="K23" s="849"/>
      <c r="L23" s="853">
        <f>J23+K23</f>
        <v>13.24</v>
      </c>
    </row>
    <row r="24" spans="1:12" ht="14.25">
      <c r="A24" s="2147"/>
      <c r="B24" s="2148"/>
      <c r="C24" s="854" t="s">
        <v>237</v>
      </c>
      <c r="D24" s="786"/>
      <c r="E24" s="787"/>
      <c r="F24" s="852"/>
      <c r="G24" s="846"/>
      <c r="H24" s="847"/>
      <c r="I24" s="852"/>
      <c r="J24" s="840"/>
      <c r="K24" s="849"/>
      <c r="L24" s="853"/>
    </row>
    <row r="25" spans="1:12" ht="14.25">
      <c r="A25" s="2147">
        <v>2</v>
      </c>
      <c r="B25" s="2148"/>
      <c r="C25" s="851" t="s">
        <v>864</v>
      </c>
      <c r="D25" s="786"/>
      <c r="E25" s="787"/>
      <c r="F25" s="934" t="s">
        <v>773</v>
      </c>
      <c r="G25" s="846">
        <v>3</v>
      </c>
      <c r="H25" s="847">
        <f>'прейск-т'!H1327</f>
        <v>7.73</v>
      </c>
      <c r="I25" s="852"/>
      <c r="J25" s="840">
        <f>G25*H25</f>
        <v>23.19</v>
      </c>
      <c r="K25" s="849"/>
      <c r="L25" s="853">
        <f>J25+K25</f>
        <v>23.19</v>
      </c>
    </row>
    <row r="26" spans="1:12" ht="14.25">
      <c r="A26" s="2147"/>
      <c r="B26" s="2148"/>
      <c r="C26" s="851" t="s">
        <v>865</v>
      </c>
      <c r="D26" s="786"/>
      <c r="E26" s="787"/>
      <c r="F26" s="934"/>
      <c r="G26" s="846"/>
      <c r="H26" s="847"/>
      <c r="I26" s="852"/>
      <c r="J26" s="840"/>
      <c r="K26" s="849"/>
      <c r="L26" s="853"/>
    </row>
    <row r="27" spans="1:12" ht="14.25">
      <c r="A27" s="2158">
        <v>3</v>
      </c>
      <c r="B27" s="2159"/>
      <c r="C27" s="851" t="s">
        <v>866</v>
      </c>
      <c r="D27" s="786"/>
      <c r="E27" s="787"/>
      <c r="F27" s="935"/>
      <c r="G27" s="846"/>
      <c r="H27" s="847"/>
      <c r="I27" s="852"/>
      <c r="J27" s="840"/>
      <c r="K27" s="849"/>
      <c r="L27" s="853"/>
    </row>
    <row r="28" spans="1:12" ht="17.25" customHeight="1">
      <c r="A28" s="2160" t="s">
        <v>867</v>
      </c>
      <c r="B28" s="2161"/>
      <c r="C28" s="851" t="s">
        <v>868</v>
      </c>
      <c r="D28" s="786"/>
      <c r="E28" s="787"/>
      <c r="F28" s="934" t="s">
        <v>869</v>
      </c>
      <c r="G28" s="846">
        <v>1</v>
      </c>
      <c r="H28" s="847">
        <f>'прейск-т'!H1330</f>
        <v>0.47</v>
      </c>
      <c r="I28" s="852"/>
      <c r="J28" s="840">
        <f>G28*H28</f>
        <v>0.47</v>
      </c>
      <c r="K28" s="849"/>
      <c r="L28" s="853">
        <f>J28+K28</f>
        <v>0.47</v>
      </c>
    </row>
    <row r="29" spans="1:12" ht="14.25">
      <c r="A29" s="2160"/>
      <c r="B29" s="2161"/>
      <c r="C29" s="851" t="s">
        <v>870</v>
      </c>
      <c r="D29" s="786"/>
      <c r="E29" s="787"/>
      <c r="F29" s="934"/>
      <c r="G29" s="846"/>
      <c r="H29" s="847"/>
      <c r="I29" s="852"/>
      <c r="J29" s="840"/>
      <c r="K29" s="849"/>
      <c r="L29" s="853"/>
    </row>
    <row r="30" spans="1:12" ht="14.25">
      <c r="A30" s="2158" t="s">
        <v>871</v>
      </c>
      <c r="B30" s="2159"/>
      <c r="C30" s="851" t="s">
        <v>872</v>
      </c>
      <c r="D30" s="786"/>
      <c r="E30" s="787"/>
      <c r="F30" s="934" t="s">
        <v>873</v>
      </c>
      <c r="G30" s="846">
        <v>1</v>
      </c>
      <c r="H30" s="847">
        <f>'прейск-т'!H1332</f>
        <v>0.42</v>
      </c>
      <c r="I30" s="855">
        <f>'прейск-т'!I1332</f>
        <v>0.0954</v>
      </c>
      <c r="J30" s="840">
        <f aca="true" t="shared" si="0" ref="J30:J40">G30*H30</f>
        <v>0.42</v>
      </c>
      <c r="K30" s="849">
        <f aca="true" t="shared" si="1" ref="K30:K38">G30*I30</f>
        <v>0.0954</v>
      </c>
      <c r="L30" s="2140">
        <f aca="true" t="shared" si="2" ref="L30:L40">J30+K30</f>
        <v>0.5154</v>
      </c>
    </row>
    <row r="31" spans="1:12" ht="14.25">
      <c r="A31" s="2158" t="s">
        <v>874</v>
      </c>
      <c r="B31" s="2159"/>
      <c r="C31" s="851" t="s">
        <v>875</v>
      </c>
      <c r="D31" s="786"/>
      <c r="E31" s="787"/>
      <c r="F31" s="934" t="s">
        <v>873</v>
      </c>
      <c r="G31" s="846">
        <v>1</v>
      </c>
      <c r="H31" s="847">
        <f>'прейск-т'!H1333</f>
        <v>0.52</v>
      </c>
      <c r="I31" s="855">
        <f>'прейск-т'!I1333</f>
        <v>0.5331999999999999</v>
      </c>
      <c r="J31" s="840">
        <f t="shared" si="0"/>
        <v>0.52</v>
      </c>
      <c r="K31" s="849">
        <f t="shared" si="1"/>
        <v>0.5331999999999999</v>
      </c>
      <c r="L31" s="2140">
        <f t="shared" si="2"/>
        <v>1.0532</v>
      </c>
    </row>
    <row r="32" spans="1:12" ht="14.25">
      <c r="A32" s="2158" t="s">
        <v>876</v>
      </c>
      <c r="B32" s="2159"/>
      <c r="C32" s="851" t="s">
        <v>877</v>
      </c>
      <c r="D32" s="786"/>
      <c r="E32" s="787"/>
      <c r="F32" s="934" t="s">
        <v>873</v>
      </c>
      <c r="G32" s="846">
        <v>1</v>
      </c>
      <c r="H32" s="847">
        <f>'прейск-т'!H1334</f>
        <v>0.31</v>
      </c>
      <c r="I32" s="855">
        <f>'прейск-т'!I1334</f>
        <v>0.0826</v>
      </c>
      <c r="J32" s="840">
        <f t="shared" si="0"/>
        <v>0.31</v>
      </c>
      <c r="K32" s="849">
        <f t="shared" si="1"/>
        <v>0.0826</v>
      </c>
      <c r="L32" s="853">
        <f t="shared" si="2"/>
        <v>0.3926</v>
      </c>
    </row>
    <row r="33" spans="1:12" ht="14.25">
      <c r="A33" s="2158" t="s">
        <v>878</v>
      </c>
      <c r="B33" s="2159"/>
      <c r="C33" s="851" t="s">
        <v>879</v>
      </c>
      <c r="D33" s="786"/>
      <c r="E33" s="787"/>
      <c r="F33" s="934" t="s">
        <v>573</v>
      </c>
      <c r="G33" s="846">
        <v>1</v>
      </c>
      <c r="H33" s="847">
        <f>'прейск-т'!H1335</f>
        <v>6.880000000000001</v>
      </c>
      <c r="I33" s="855">
        <f>'прейск-т'!I1335</f>
        <v>1.31279</v>
      </c>
      <c r="J33" s="840">
        <f t="shared" si="0"/>
        <v>6.880000000000001</v>
      </c>
      <c r="K33" s="849">
        <f t="shared" si="1"/>
        <v>1.31279</v>
      </c>
      <c r="L33" s="853">
        <f t="shared" si="2"/>
        <v>8.19279</v>
      </c>
    </row>
    <row r="34" spans="1:12" ht="14.25">
      <c r="A34" s="2158" t="s">
        <v>880</v>
      </c>
      <c r="B34" s="2159"/>
      <c r="C34" s="851" t="s">
        <v>881</v>
      </c>
      <c r="D34" s="786"/>
      <c r="E34" s="787"/>
      <c r="F34" s="934" t="s">
        <v>573</v>
      </c>
      <c r="G34" s="846">
        <v>1</v>
      </c>
      <c r="H34" s="847">
        <f>'прейск-т'!H1336</f>
        <v>2.5</v>
      </c>
      <c r="I34" s="852">
        <f>'прейск-т'!I1336</f>
        <v>0.49523399999999995</v>
      </c>
      <c r="J34" s="840">
        <f t="shared" si="0"/>
        <v>2.5</v>
      </c>
      <c r="K34" s="849">
        <f t="shared" si="1"/>
        <v>0.49523399999999995</v>
      </c>
      <c r="L34" s="853">
        <f t="shared" si="2"/>
        <v>2.995234</v>
      </c>
    </row>
    <row r="35" spans="1:12" ht="14.25">
      <c r="A35" s="2158" t="s">
        <v>882</v>
      </c>
      <c r="B35" s="2159"/>
      <c r="C35" s="851" t="s">
        <v>883</v>
      </c>
      <c r="D35" s="786"/>
      <c r="E35" s="787"/>
      <c r="F35" s="934" t="s">
        <v>573</v>
      </c>
      <c r="G35" s="846">
        <v>1</v>
      </c>
      <c r="H35" s="847">
        <f>'прейск-т'!H1337</f>
        <v>1.58</v>
      </c>
      <c r="I35" s="855">
        <f>'прейск-т'!I1337</f>
        <v>1.01074</v>
      </c>
      <c r="J35" s="840">
        <f t="shared" si="0"/>
        <v>1.58</v>
      </c>
      <c r="K35" s="849">
        <f t="shared" si="1"/>
        <v>1.01074</v>
      </c>
      <c r="L35" s="853">
        <f t="shared" si="2"/>
        <v>2.5907400000000003</v>
      </c>
    </row>
    <row r="36" spans="1:12" ht="14.25">
      <c r="A36" s="2158" t="s">
        <v>886</v>
      </c>
      <c r="B36" s="2159"/>
      <c r="C36" s="851" t="s">
        <v>887</v>
      </c>
      <c r="D36" s="786"/>
      <c r="E36" s="787"/>
      <c r="F36" s="934" t="s">
        <v>573</v>
      </c>
      <c r="G36" s="846">
        <v>1</v>
      </c>
      <c r="H36" s="847">
        <f>'прейск-т'!H1338</f>
        <v>0.78</v>
      </c>
      <c r="I36" s="855">
        <f>'прейск-т'!I1338</f>
        <v>0.48743</v>
      </c>
      <c r="J36" s="840">
        <f t="shared" si="0"/>
        <v>0.78</v>
      </c>
      <c r="K36" s="849">
        <f t="shared" si="1"/>
        <v>0.48743</v>
      </c>
      <c r="L36" s="853">
        <f t="shared" si="2"/>
        <v>1.26743</v>
      </c>
    </row>
    <row r="37" spans="1:12" ht="14.25">
      <c r="A37" s="2158" t="s">
        <v>888</v>
      </c>
      <c r="B37" s="2159"/>
      <c r="C37" s="851" t="s">
        <v>889</v>
      </c>
      <c r="D37" s="786"/>
      <c r="E37" s="787"/>
      <c r="F37" s="934" t="s">
        <v>573</v>
      </c>
      <c r="G37" s="846">
        <v>1</v>
      </c>
      <c r="H37" s="847">
        <f>'прейск-т'!H1339</f>
        <v>0.67</v>
      </c>
      <c r="I37" s="855">
        <f>'прейск-т'!I1339</f>
        <v>0.21892999999999999</v>
      </c>
      <c r="J37" s="840">
        <f>G37*H37</f>
        <v>0.67</v>
      </c>
      <c r="K37" s="849">
        <f>G37*I37</f>
        <v>0.21892999999999999</v>
      </c>
      <c r="L37" s="853">
        <f t="shared" si="2"/>
        <v>0.88893</v>
      </c>
    </row>
    <row r="38" spans="1:12" ht="14.25">
      <c r="A38" s="2158" t="s">
        <v>890</v>
      </c>
      <c r="B38" s="2159"/>
      <c r="C38" s="851" t="s">
        <v>891</v>
      </c>
      <c r="D38" s="786"/>
      <c r="E38" s="787"/>
      <c r="F38" s="934" t="s">
        <v>573</v>
      </c>
      <c r="G38" s="846">
        <v>1</v>
      </c>
      <c r="H38" s="847">
        <f>'прейск-т'!H1340</f>
        <v>0.83</v>
      </c>
      <c r="I38" s="855">
        <f>'прейск-т'!I1340</f>
        <v>0.29233000000000003</v>
      </c>
      <c r="J38" s="840">
        <f>G38*H38</f>
        <v>0.83</v>
      </c>
      <c r="K38" s="849">
        <f t="shared" si="1"/>
        <v>0.29233000000000003</v>
      </c>
      <c r="L38" s="853">
        <f t="shared" si="2"/>
        <v>1.12233</v>
      </c>
    </row>
    <row r="39" spans="1:12" ht="14.25">
      <c r="A39" s="2158" t="s">
        <v>892</v>
      </c>
      <c r="B39" s="2159"/>
      <c r="C39" s="851" t="s">
        <v>893</v>
      </c>
      <c r="D39" s="786"/>
      <c r="E39" s="787"/>
      <c r="F39" s="934" t="s">
        <v>573</v>
      </c>
      <c r="G39" s="846">
        <v>1</v>
      </c>
      <c r="H39" s="847">
        <f>'прейск-т'!H1341</f>
        <v>0.83</v>
      </c>
      <c r="I39" s="855">
        <f>'прейск-т'!I1341</f>
        <v>0.28492</v>
      </c>
      <c r="J39" s="840">
        <f>G39*H39</f>
        <v>0.83</v>
      </c>
      <c r="K39" s="849">
        <f>G39*I39</f>
        <v>0.28492</v>
      </c>
      <c r="L39" s="853">
        <f t="shared" si="2"/>
        <v>1.11492</v>
      </c>
    </row>
    <row r="40" spans="1:12" ht="14.25">
      <c r="A40" s="2158">
        <v>4</v>
      </c>
      <c r="B40" s="2159"/>
      <c r="C40" s="851" t="s">
        <v>894</v>
      </c>
      <c r="D40" s="786"/>
      <c r="E40" s="787"/>
      <c r="F40" s="934" t="s">
        <v>573</v>
      </c>
      <c r="G40" s="846">
        <v>1</v>
      </c>
      <c r="H40" s="847">
        <f>'прейск-т'!H1342</f>
        <v>2.99</v>
      </c>
      <c r="I40" s="855">
        <f>'прейск-т'!I1342</f>
        <v>0.5650000000000001</v>
      </c>
      <c r="J40" s="840">
        <f t="shared" si="0"/>
        <v>2.99</v>
      </c>
      <c r="K40" s="856">
        <f>G40*I40</f>
        <v>0.5650000000000001</v>
      </c>
      <c r="L40" s="857">
        <f t="shared" si="2"/>
        <v>3.555</v>
      </c>
    </row>
    <row r="41" spans="1:12" ht="14.25">
      <c r="A41" s="2162"/>
      <c r="B41" s="2163"/>
      <c r="C41" s="851"/>
      <c r="D41" s="786"/>
      <c r="E41" s="787"/>
      <c r="F41" s="935"/>
      <c r="G41" s="846"/>
      <c r="H41" s="847"/>
      <c r="I41" s="852"/>
      <c r="J41" s="840"/>
      <c r="K41" s="849"/>
      <c r="L41" s="853"/>
    </row>
    <row r="42" spans="1:12" ht="15">
      <c r="A42" s="2164" t="s">
        <v>895</v>
      </c>
      <c r="B42" s="2165"/>
      <c r="C42" s="843" t="s">
        <v>896</v>
      </c>
      <c r="D42" s="786"/>
      <c r="E42" s="787"/>
      <c r="F42" s="935"/>
      <c r="G42" s="846"/>
      <c r="H42" s="847"/>
      <c r="I42" s="852"/>
      <c r="J42" s="840"/>
      <c r="K42" s="849"/>
      <c r="L42" s="853"/>
    </row>
    <row r="43" spans="1:12" ht="14.25">
      <c r="A43" s="2158">
        <v>1</v>
      </c>
      <c r="B43" s="2159"/>
      <c r="C43" s="851" t="s">
        <v>897</v>
      </c>
      <c r="D43" s="786"/>
      <c r="E43" s="858"/>
      <c r="F43" s="934" t="s">
        <v>898</v>
      </c>
      <c r="G43" s="846">
        <v>2</v>
      </c>
      <c r="H43" s="847"/>
      <c r="I43" s="852">
        <v>8485</v>
      </c>
      <c r="J43" s="840"/>
      <c r="K43" s="849">
        <f>G43*I43</f>
        <v>16970</v>
      </c>
      <c r="L43" s="853">
        <v>17000</v>
      </c>
    </row>
    <row r="44" spans="1:12" ht="14.25">
      <c r="A44" s="2158">
        <v>2</v>
      </c>
      <c r="B44" s="2159"/>
      <c r="C44" s="851" t="s">
        <v>899</v>
      </c>
      <c r="D44" s="786"/>
      <c r="E44" s="858"/>
      <c r="F44" s="934" t="s">
        <v>898</v>
      </c>
      <c r="G44" s="846">
        <v>2</v>
      </c>
      <c r="H44" s="847"/>
      <c r="I44" s="852">
        <v>8730</v>
      </c>
      <c r="J44" s="840"/>
      <c r="K44" s="849">
        <f>G44*I44</f>
        <v>17460</v>
      </c>
      <c r="L44" s="853">
        <v>17450</v>
      </c>
    </row>
    <row r="45" spans="1:12" ht="14.25">
      <c r="A45" s="2158">
        <v>3</v>
      </c>
      <c r="B45" s="2159"/>
      <c r="C45" s="851" t="s">
        <v>241</v>
      </c>
      <c r="D45" s="786"/>
      <c r="E45" s="858"/>
      <c r="F45" s="934" t="s">
        <v>900</v>
      </c>
      <c r="G45" s="846">
        <v>3</v>
      </c>
      <c r="H45" s="847"/>
      <c r="I45" s="852">
        <v>1531.8</v>
      </c>
      <c r="J45" s="840"/>
      <c r="K45" s="849">
        <f>G45*I45</f>
        <v>4595.4</v>
      </c>
      <c r="L45" s="853">
        <v>4600</v>
      </c>
    </row>
    <row r="46" spans="1:12" ht="14.25">
      <c r="A46" s="2158">
        <v>4</v>
      </c>
      <c r="B46" s="2159"/>
      <c r="C46" s="851" t="s">
        <v>242</v>
      </c>
      <c r="D46" s="786"/>
      <c r="E46" s="858"/>
      <c r="F46" s="934" t="s">
        <v>900</v>
      </c>
      <c r="G46" s="846">
        <v>5</v>
      </c>
      <c r="H46" s="847"/>
      <c r="I46" s="852">
        <v>1498.5</v>
      </c>
      <c r="J46" s="840"/>
      <c r="K46" s="849">
        <f aca="true" t="shared" si="3" ref="K46:K58">G46*I46</f>
        <v>7492.5</v>
      </c>
      <c r="L46" s="853">
        <v>7500</v>
      </c>
    </row>
    <row r="47" spans="1:12" ht="14.25">
      <c r="A47" s="2158">
        <v>5</v>
      </c>
      <c r="B47" s="2159"/>
      <c r="C47" s="851" t="s">
        <v>243</v>
      </c>
      <c r="D47" s="786"/>
      <c r="E47" s="858"/>
      <c r="F47" s="934" t="s">
        <v>900</v>
      </c>
      <c r="G47" s="846">
        <v>5</v>
      </c>
      <c r="H47" s="847"/>
      <c r="I47" s="852">
        <v>1853.7</v>
      </c>
      <c r="J47" s="840"/>
      <c r="K47" s="849">
        <f t="shared" si="3"/>
        <v>9268.5</v>
      </c>
      <c r="L47" s="853">
        <v>9250</v>
      </c>
    </row>
    <row r="48" spans="1:12" ht="14.25">
      <c r="A48" s="859">
        <v>6</v>
      </c>
      <c r="B48" s="751"/>
      <c r="C48" s="851" t="s">
        <v>239</v>
      </c>
      <c r="D48" s="786"/>
      <c r="E48" s="858"/>
      <c r="F48" s="934" t="s">
        <v>902</v>
      </c>
      <c r="G48" s="846">
        <v>1</v>
      </c>
      <c r="H48" s="847"/>
      <c r="I48" s="852">
        <v>2103</v>
      </c>
      <c r="J48" s="840"/>
      <c r="K48" s="849">
        <f t="shared" si="3"/>
        <v>2103</v>
      </c>
      <c r="L48" s="853">
        <v>2100</v>
      </c>
    </row>
    <row r="49" spans="1:12" ht="14.25">
      <c r="A49" s="859">
        <v>7</v>
      </c>
      <c r="B49" s="751"/>
      <c r="C49" s="851" t="s">
        <v>246</v>
      </c>
      <c r="D49" s="786"/>
      <c r="E49" s="858"/>
      <c r="F49" s="934" t="s">
        <v>247</v>
      </c>
      <c r="G49" s="846">
        <v>10</v>
      </c>
      <c r="H49" s="847"/>
      <c r="I49" s="852">
        <v>64.38</v>
      </c>
      <c r="J49" s="840"/>
      <c r="K49" s="849">
        <f t="shared" si="3"/>
        <v>643.8</v>
      </c>
      <c r="L49" s="853">
        <v>650</v>
      </c>
    </row>
    <row r="50" spans="1:12" ht="14.25">
      <c r="A50" s="859">
        <v>8</v>
      </c>
      <c r="B50" s="751"/>
      <c r="C50" s="851" t="s">
        <v>249</v>
      </c>
      <c r="D50" s="786"/>
      <c r="E50" s="858"/>
      <c r="F50" s="934" t="s">
        <v>902</v>
      </c>
      <c r="G50" s="846">
        <v>1</v>
      </c>
      <c r="H50" s="847"/>
      <c r="I50" s="852">
        <v>1083</v>
      </c>
      <c r="J50" s="840"/>
      <c r="K50" s="849">
        <f t="shared" si="3"/>
        <v>1083</v>
      </c>
      <c r="L50" s="853">
        <v>1100</v>
      </c>
    </row>
    <row r="51" spans="1:12" ht="14.25">
      <c r="A51" s="859">
        <v>9</v>
      </c>
      <c r="B51" s="751"/>
      <c r="C51" s="851" t="s">
        <v>248</v>
      </c>
      <c r="D51" s="786"/>
      <c r="E51" s="858"/>
      <c r="F51" s="934" t="s">
        <v>902</v>
      </c>
      <c r="G51" s="846">
        <v>5</v>
      </c>
      <c r="H51" s="847"/>
      <c r="I51" s="852">
        <v>593</v>
      </c>
      <c r="J51" s="840"/>
      <c r="K51" s="849">
        <f t="shared" si="3"/>
        <v>2965</v>
      </c>
      <c r="L51" s="853">
        <v>2950</v>
      </c>
    </row>
    <row r="52" spans="1:12" ht="14.25">
      <c r="A52" s="859">
        <v>10</v>
      </c>
      <c r="B52" s="751"/>
      <c r="C52" s="851" t="s">
        <v>244</v>
      </c>
      <c r="D52" s="786"/>
      <c r="E52" s="858"/>
      <c r="F52" s="934" t="s">
        <v>245</v>
      </c>
      <c r="G52" s="846">
        <v>3</v>
      </c>
      <c r="H52" s="847"/>
      <c r="I52" s="852">
        <v>5192</v>
      </c>
      <c r="J52" s="840"/>
      <c r="K52" s="849">
        <f t="shared" si="3"/>
        <v>15576</v>
      </c>
      <c r="L52" s="853">
        <v>15600</v>
      </c>
    </row>
    <row r="53" spans="1:12" ht="14.25">
      <c r="A53" s="859">
        <v>11</v>
      </c>
      <c r="B53" s="751"/>
      <c r="C53" s="851" t="s">
        <v>250</v>
      </c>
      <c r="D53" s="786"/>
      <c r="E53" s="858"/>
      <c r="F53" s="934" t="s">
        <v>902</v>
      </c>
      <c r="G53" s="846">
        <v>5</v>
      </c>
      <c r="H53" s="847"/>
      <c r="I53" s="852">
        <v>120.86</v>
      </c>
      <c r="J53" s="840"/>
      <c r="K53" s="849">
        <f t="shared" si="3"/>
        <v>604.3</v>
      </c>
      <c r="L53" s="853">
        <v>600</v>
      </c>
    </row>
    <row r="54" spans="1:12" ht="14.25">
      <c r="A54" s="2158">
        <v>12</v>
      </c>
      <c r="B54" s="2159"/>
      <c r="C54" s="851" t="s">
        <v>901</v>
      </c>
      <c r="D54" s="786"/>
      <c r="E54" s="858"/>
      <c r="F54" s="934" t="s">
        <v>902</v>
      </c>
      <c r="G54" s="846">
        <v>1</v>
      </c>
      <c r="H54" s="847"/>
      <c r="I54" s="852">
        <v>3720</v>
      </c>
      <c r="J54" s="840"/>
      <c r="K54" s="849">
        <f t="shared" si="3"/>
        <v>3720</v>
      </c>
      <c r="L54" s="853">
        <v>3700</v>
      </c>
    </row>
    <row r="55" spans="1:12" ht="14.25">
      <c r="A55" s="2158">
        <v>13</v>
      </c>
      <c r="B55" s="2159"/>
      <c r="C55" s="851" t="s">
        <v>903</v>
      </c>
      <c r="D55" s="786"/>
      <c r="E55" s="858"/>
      <c r="F55" s="934" t="s">
        <v>900</v>
      </c>
      <c r="G55" s="846">
        <v>6</v>
      </c>
      <c r="H55" s="847"/>
      <c r="I55" s="852">
        <v>4884</v>
      </c>
      <c r="J55" s="840"/>
      <c r="K55" s="849">
        <f t="shared" si="3"/>
        <v>29304</v>
      </c>
      <c r="L55" s="853">
        <v>29300</v>
      </c>
    </row>
    <row r="56" spans="1:12" ht="14.25">
      <c r="A56" s="859">
        <v>14</v>
      </c>
      <c r="B56" s="751"/>
      <c r="C56" s="851" t="s">
        <v>240</v>
      </c>
      <c r="D56" s="786"/>
      <c r="E56" s="858"/>
      <c r="F56" s="934" t="s">
        <v>918</v>
      </c>
      <c r="G56" s="846">
        <v>2</v>
      </c>
      <c r="H56" s="847"/>
      <c r="I56" s="852">
        <v>707.7</v>
      </c>
      <c r="J56" s="840"/>
      <c r="K56" s="849">
        <f t="shared" si="3"/>
        <v>1415.4</v>
      </c>
      <c r="L56" s="853">
        <v>1400</v>
      </c>
    </row>
    <row r="57" spans="1:12" ht="14.25">
      <c r="A57" s="2158">
        <v>15</v>
      </c>
      <c r="B57" s="2159"/>
      <c r="C57" s="851" t="s">
        <v>917</v>
      </c>
      <c r="D57" s="786"/>
      <c r="E57" s="858"/>
      <c r="F57" s="934" t="s">
        <v>918</v>
      </c>
      <c r="G57" s="846">
        <v>3</v>
      </c>
      <c r="H57" s="847"/>
      <c r="I57" s="852">
        <v>377.4</v>
      </c>
      <c r="J57" s="840"/>
      <c r="K57" s="849">
        <f t="shared" si="3"/>
        <v>1132.1999999999998</v>
      </c>
      <c r="L57" s="853">
        <v>1150</v>
      </c>
    </row>
    <row r="58" spans="1:12" ht="14.25">
      <c r="A58" s="859">
        <v>16</v>
      </c>
      <c r="B58" s="751"/>
      <c r="C58" s="851" t="s">
        <v>329</v>
      </c>
      <c r="D58" s="786"/>
      <c r="E58" s="858"/>
      <c r="F58" s="934" t="s">
        <v>918</v>
      </c>
      <c r="G58" s="846">
        <v>2</v>
      </c>
      <c r="H58" s="847"/>
      <c r="I58" s="852">
        <v>1198.8</v>
      </c>
      <c r="J58" s="840"/>
      <c r="K58" s="849">
        <f t="shared" si="3"/>
        <v>2397.6</v>
      </c>
      <c r="L58" s="853">
        <v>2400</v>
      </c>
    </row>
    <row r="59" spans="1:12" ht="14.25">
      <c r="A59" s="859">
        <v>17</v>
      </c>
      <c r="B59" s="751"/>
      <c r="C59" s="851" t="s">
        <v>330</v>
      </c>
      <c r="D59" s="786"/>
      <c r="E59" s="858"/>
      <c r="F59" s="934" t="s">
        <v>918</v>
      </c>
      <c r="G59" s="846">
        <v>2</v>
      </c>
      <c r="H59" s="847"/>
      <c r="I59" s="860">
        <v>95.46</v>
      </c>
      <c r="J59" s="840"/>
      <c r="K59" s="849">
        <f>G59*I59</f>
        <v>190.92</v>
      </c>
      <c r="L59" s="853">
        <v>200</v>
      </c>
    </row>
    <row r="60" spans="1:12" ht="14.25">
      <c r="A60" s="2166"/>
      <c r="B60" s="2167"/>
      <c r="C60" s="789"/>
      <c r="D60" s="790" t="s">
        <v>919</v>
      </c>
      <c r="E60" s="791"/>
      <c r="F60" s="848"/>
      <c r="G60" s="861"/>
      <c r="H60" s="862"/>
      <c r="I60" s="848"/>
      <c r="J60" s="863">
        <f>SUM(J23:J57)</f>
        <v>55.21000000000001</v>
      </c>
      <c r="K60" s="864">
        <f>SUM(K29:K59)</f>
        <v>116926.99857400001</v>
      </c>
      <c r="L60" s="2141">
        <f>SUM(L23:L59)</f>
        <v>117010.588574</v>
      </c>
    </row>
    <row r="61" spans="1:12" ht="15">
      <c r="A61" s="2162"/>
      <c r="B61" s="2163"/>
      <c r="C61" s="794"/>
      <c r="D61" s="795" t="s">
        <v>920</v>
      </c>
      <c r="E61" s="796"/>
      <c r="F61" s="797"/>
      <c r="G61" s="798"/>
      <c r="H61" s="797"/>
      <c r="I61" s="798"/>
      <c r="J61" s="865"/>
      <c r="K61" s="866"/>
      <c r="L61" s="867"/>
    </row>
    <row r="62" spans="1:12" ht="14.25">
      <c r="A62" s="2168"/>
      <c r="B62" s="2169"/>
      <c r="C62" s="803"/>
      <c r="D62" s="804" t="s">
        <v>921</v>
      </c>
      <c r="E62" s="805"/>
      <c r="F62" s="806"/>
      <c r="G62" s="807"/>
      <c r="H62" s="806"/>
      <c r="I62" s="807"/>
      <c r="J62" s="808">
        <f>J60</f>
        <v>55.21000000000001</v>
      </c>
      <c r="K62" s="809">
        <v>126250</v>
      </c>
      <c r="L62" s="868">
        <v>647400</v>
      </c>
    </row>
    <row r="63" spans="1:12" ht="14.25">
      <c r="A63" s="110"/>
      <c r="B63" s="160"/>
      <c r="C63" s="870"/>
      <c r="D63" s="870"/>
      <c r="E63" s="870"/>
      <c r="F63" s="870"/>
      <c r="G63" s="869"/>
      <c r="H63" s="869"/>
      <c r="I63" s="869"/>
      <c r="J63" s="871"/>
      <c r="K63" s="928"/>
      <c r="L63" s="870"/>
    </row>
    <row r="64" spans="1:12" ht="14.25">
      <c r="A64" s="110"/>
      <c r="B64" s="160"/>
      <c r="C64" s="870"/>
      <c r="D64" s="870"/>
      <c r="E64" s="870"/>
      <c r="F64" s="870"/>
      <c r="G64" s="869"/>
      <c r="H64" s="869"/>
      <c r="I64" s="869"/>
      <c r="J64" s="871"/>
      <c r="K64" s="928"/>
      <c r="L64" s="870"/>
    </row>
    <row r="65" spans="1:12" ht="14.25">
      <c r="A65" s="110"/>
      <c r="B65" s="160"/>
      <c r="C65" s="870"/>
      <c r="D65" s="870"/>
      <c r="E65" s="870"/>
      <c r="F65" s="870"/>
      <c r="G65" s="869"/>
      <c r="H65" s="869"/>
      <c r="I65" s="869"/>
      <c r="J65" s="871"/>
      <c r="K65" s="928"/>
      <c r="L65" s="870"/>
    </row>
    <row r="66" spans="1:12" ht="15">
      <c r="A66" s="878" t="s">
        <v>251</v>
      </c>
      <c r="B66" s="482"/>
      <c r="C66" s="870"/>
      <c r="D66" s="870"/>
      <c r="E66" s="870"/>
      <c r="F66" s="870"/>
      <c r="G66" s="869"/>
      <c r="H66" s="869"/>
      <c r="I66" s="869"/>
      <c r="J66" s="871"/>
      <c r="K66" s="872"/>
      <c r="L66" s="870"/>
    </row>
    <row r="67" spans="1:12" ht="15">
      <c r="A67" s="110"/>
      <c r="B67" s="207"/>
      <c r="C67" s="35"/>
      <c r="D67" s="870"/>
      <c r="E67" s="870"/>
      <c r="F67" s="870"/>
      <c r="G67" s="869"/>
      <c r="H67" s="869"/>
      <c r="I67" s="869"/>
      <c r="J67" s="871"/>
      <c r="K67" s="873"/>
      <c r="L67" s="874"/>
    </row>
    <row r="68" spans="1:12" ht="15">
      <c r="A68" s="878" t="str">
        <f>'прейск-т'!C1368</f>
        <v>Бухгалтер</v>
      </c>
      <c r="B68" s="482"/>
      <c r="C68" s="870"/>
      <c r="D68" s="870"/>
      <c r="E68" s="870"/>
      <c r="F68" s="870"/>
      <c r="G68" s="869"/>
      <c r="H68" s="869"/>
      <c r="I68" s="869"/>
      <c r="J68" s="871"/>
      <c r="K68" s="875">
        <f>'прейск-т'!K1368</f>
        <v>0</v>
      </c>
      <c r="L68" s="870"/>
    </row>
    <row r="69" spans="1:12" ht="15">
      <c r="A69" s="110"/>
      <c r="B69" s="482"/>
      <c r="C69" s="870"/>
      <c r="D69" s="870"/>
      <c r="E69" s="870"/>
      <c r="F69" s="870"/>
      <c r="G69" s="869"/>
      <c r="H69" s="869"/>
      <c r="I69" s="869"/>
      <c r="J69" s="871"/>
      <c r="K69" s="873"/>
      <c r="L69" s="870"/>
    </row>
    <row r="70" spans="1:12" ht="15">
      <c r="A70" s="879" t="s">
        <v>829</v>
      </c>
      <c r="B70" s="482"/>
      <c r="C70" s="870"/>
      <c r="D70" s="870"/>
      <c r="E70" s="870"/>
      <c r="F70" s="870"/>
      <c r="G70" s="869"/>
      <c r="H70" s="869"/>
      <c r="I70" s="869"/>
      <c r="J70" s="871"/>
      <c r="K70" s="875" t="s">
        <v>830</v>
      </c>
      <c r="L70" s="870"/>
    </row>
    <row r="71" spans="1:12" ht="15">
      <c r="A71" s="110"/>
      <c r="B71" s="151"/>
      <c r="C71" s="870"/>
      <c r="D71" s="870"/>
      <c r="E71" s="870"/>
      <c r="F71" s="870"/>
      <c r="G71" s="869"/>
      <c r="H71" s="869"/>
      <c r="I71" s="869"/>
      <c r="J71" s="871"/>
      <c r="K71" s="873"/>
      <c r="L71" s="870"/>
    </row>
    <row r="72" spans="1:12" ht="15">
      <c r="A72" s="880" t="s">
        <v>831</v>
      </c>
      <c r="B72" s="151"/>
      <c r="C72" s="870"/>
      <c r="D72" s="870"/>
      <c r="E72" s="870"/>
      <c r="F72" s="870"/>
      <c r="G72" s="869"/>
      <c r="H72" s="869"/>
      <c r="I72" s="869"/>
      <c r="J72" s="871"/>
      <c r="K72" s="875" t="s">
        <v>832</v>
      </c>
      <c r="L72" s="870"/>
    </row>
  </sheetData>
  <sheetProtection/>
  <mergeCells count="34">
    <mergeCell ref="A43:B43"/>
    <mergeCell ref="A44:B44"/>
    <mergeCell ref="A60:B60"/>
    <mergeCell ref="A61:B62"/>
    <mergeCell ref="A47:B47"/>
    <mergeCell ref="A54:B54"/>
    <mergeCell ref="A55:B55"/>
    <mergeCell ref="A57:B57"/>
    <mergeCell ref="A45:B45"/>
    <mergeCell ref="A46:B46"/>
    <mergeCell ref="A25:B26"/>
    <mergeCell ref="A27:B27"/>
    <mergeCell ref="A41:B41"/>
    <mergeCell ref="A42:B42"/>
    <mergeCell ref="A35:B35"/>
    <mergeCell ref="A36:B36"/>
    <mergeCell ref="A37:B37"/>
    <mergeCell ref="A38:B38"/>
    <mergeCell ref="A39:B39"/>
    <mergeCell ref="A40:B40"/>
    <mergeCell ref="A33:B33"/>
    <mergeCell ref="A34:B34"/>
    <mergeCell ref="A28:B29"/>
    <mergeCell ref="A30:B30"/>
    <mergeCell ref="A31:B31"/>
    <mergeCell ref="A32:B32"/>
    <mergeCell ref="A22:B22"/>
    <mergeCell ref="A23:B24"/>
    <mergeCell ref="A7:L7"/>
    <mergeCell ref="A8:L8"/>
    <mergeCell ref="A9:L9"/>
    <mergeCell ref="A10:L10"/>
    <mergeCell ref="A11:L11"/>
    <mergeCell ref="A13:B21"/>
  </mergeCells>
  <printOptions/>
  <pageMargins left="0.75" right="0.75" top="1" bottom="1" header="0.5" footer="0.5"/>
  <pageSetup horizontalDpi="600" verticalDpi="600" orientation="portrait" paperSize="9" scale="7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SheetLayoutView="100" zoomScalePageLayoutView="0" workbookViewId="0" topLeftCell="A1">
      <selection activeCell="L41" sqref="L41"/>
    </sheetView>
  </sheetViews>
  <sheetFormatPr defaultColWidth="9.140625" defaultRowHeight="12.75"/>
  <sheetData>
    <row r="1" spans="1:16" ht="15">
      <c r="A1" s="158"/>
      <c r="B1" s="149"/>
      <c r="C1" s="149"/>
      <c r="D1" s="149"/>
      <c r="E1" s="149"/>
      <c r="F1" s="149"/>
      <c r="G1" s="149"/>
      <c r="H1" s="149"/>
      <c r="I1" s="149"/>
      <c r="J1" s="150"/>
      <c r="K1" s="151"/>
      <c r="L1" s="152"/>
      <c r="M1" s="151"/>
      <c r="N1" s="151" t="s">
        <v>178</v>
      </c>
      <c r="O1" s="151"/>
      <c r="P1" s="151"/>
    </row>
    <row r="2" spans="1:16" ht="15">
      <c r="A2" s="158"/>
      <c r="B2" s="149"/>
      <c r="C2" s="149"/>
      <c r="D2" s="149"/>
      <c r="E2" s="149"/>
      <c r="F2" s="149"/>
      <c r="G2" s="149"/>
      <c r="H2" s="149"/>
      <c r="I2" s="119"/>
      <c r="J2" s="150"/>
      <c r="K2" s="151"/>
      <c r="L2" s="152"/>
      <c r="M2" s="151"/>
      <c r="N2" s="151"/>
      <c r="O2" s="151"/>
      <c r="P2" s="1039" t="str">
        <f>'лаб-рия'!P918</f>
        <v>Главный врач Слонимской ЦРБ</v>
      </c>
    </row>
    <row r="3" spans="1:16" ht="15">
      <c r="A3" s="158"/>
      <c r="B3" s="149"/>
      <c r="C3" s="149"/>
      <c r="D3" s="149"/>
      <c r="E3" s="149"/>
      <c r="F3" s="149"/>
      <c r="G3" s="149"/>
      <c r="H3" s="149"/>
      <c r="I3" s="119"/>
      <c r="J3" s="150"/>
      <c r="K3" s="151"/>
      <c r="L3" s="152"/>
      <c r="M3" s="151"/>
      <c r="N3" s="151"/>
      <c r="O3" s="151"/>
      <c r="P3" s="1039" t="str">
        <f>'лаб-рия'!P919</f>
        <v>Г.М. Моисеенкова</v>
      </c>
    </row>
    <row r="4" spans="1:16" ht="15">
      <c r="A4" s="158"/>
      <c r="B4" s="159"/>
      <c r="C4" s="159"/>
      <c r="D4" s="159"/>
      <c r="E4" s="159"/>
      <c r="F4" s="159"/>
      <c r="G4" s="159"/>
      <c r="H4" s="159"/>
      <c r="I4" s="158"/>
      <c r="J4" s="164"/>
      <c r="K4" s="1039"/>
      <c r="L4" s="2246"/>
      <c r="M4" s="2246"/>
      <c r="N4" s="1039">
        <v>3</v>
      </c>
      <c r="O4" s="1039" t="str">
        <f>'лаб-рия'!O920</f>
        <v>июля</v>
      </c>
      <c r="P4" s="1039" t="str">
        <f>'лаб-рия'!P920</f>
        <v>2017 г.</v>
      </c>
    </row>
    <row r="5" spans="1:16" ht="25.5" hidden="1">
      <c r="A5" s="2247" t="s">
        <v>438</v>
      </c>
      <c r="B5" s="2247"/>
      <c r="C5" s="2247"/>
      <c r="D5" s="2247"/>
      <c r="E5" s="2247"/>
      <c r="F5" s="2247"/>
      <c r="G5" s="2247"/>
      <c r="H5" s="2247"/>
      <c r="I5" s="2247"/>
      <c r="J5" s="2247"/>
      <c r="K5" s="2247"/>
      <c r="L5" s="2247"/>
      <c r="M5" s="2247"/>
      <c r="N5" s="2247"/>
      <c r="O5" s="2247"/>
      <c r="P5" s="2247"/>
    </row>
    <row r="6" spans="1:16" ht="12.75" hidden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6"/>
      <c r="M6" s="155"/>
      <c r="N6" s="155"/>
      <c r="O6" s="155"/>
      <c r="P6" s="155"/>
    </row>
    <row r="7" spans="1:16" ht="12.75" hidden="1">
      <c r="A7" s="158"/>
      <c r="B7" s="159"/>
      <c r="C7" s="159"/>
      <c r="D7" s="159"/>
      <c r="E7" s="159"/>
      <c r="F7" s="159"/>
      <c r="G7" s="159"/>
      <c r="H7" s="159"/>
      <c r="I7" s="158"/>
      <c r="J7" s="160"/>
      <c r="K7" s="161"/>
      <c r="L7" s="162"/>
      <c r="M7" s="159"/>
      <c r="N7" s="159"/>
      <c r="O7" s="159"/>
      <c r="P7" s="163"/>
    </row>
    <row r="8" spans="1:16" ht="17.25">
      <c r="A8" s="2248" t="s">
        <v>439</v>
      </c>
      <c r="B8" s="2248"/>
      <c r="C8" s="2248"/>
      <c r="D8" s="2248"/>
      <c r="E8" s="2248"/>
      <c r="F8" s="2248"/>
      <c r="G8" s="2248"/>
      <c r="H8" s="2248"/>
      <c r="I8" s="2248"/>
      <c r="J8" s="2248"/>
      <c r="K8" s="2248"/>
      <c r="L8" s="2248"/>
      <c r="M8" s="2248"/>
      <c r="N8" s="2248"/>
      <c r="O8" s="2248"/>
      <c r="P8" s="2248"/>
    </row>
    <row r="9" spans="1:16" ht="17.25">
      <c r="A9" s="2248" t="s">
        <v>922</v>
      </c>
      <c r="B9" s="2248"/>
      <c r="C9" s="2248"/>
      <c r="D9" s="2248"/>
      <c r="E9" s="2248"/>
      <c r="F9" s="2248"/>
      <c r="G9" s="2248"/>
      <c r="H9" s="2248"/>
      <c r="I9" s="2248"/>
      <c r="J9" s="2248"/>
      <c r="K9" s="2248"/>
      <c r="L9" s="2248"/>
      <c r="M9" s="2248"/>
      <c r="N9" s="2248"/>
      <c r="O9" s="2248"/>
      <c r="P9" s="2248"/>
    </row>
    <row r="10" spans="1:16" ht="15.75">
      <c r="A10" s="158"/>
      <c r="B10" s="167"/>
      <c r="C10" s="167"/>
      <c r="D10" s="167"/>
      <c r="E10" s="167"/>
      <c r="F10" s="167"/>
      <c r="G10" s="168"/>
      <c r="H10" s="167"/>
      <c r="I10" s="169"/>
      <c r="J10" s="165"/>
      <c r="K10" s="165"/>
      <c r="L10" s="170"/>
      <c r="M10" s="165"/>
      <c r="N10" s="165"/>
      <c r="O10" s="165"/>
      <c r="P10" s="165"/>
    </row>
    <row r="11" spans="1:16" ht="15">
      <c r="A11" s="962"/>
      <c r="B11" s="172" t="str">
        <f>'прейск-т'!C1313</f>
        <v>вводится с </v>
      </c>
      <c r="C11" s="173" t="str">
        <f>'прейск-т'!D13</f>
        <v>01.07.2017г.</v>
      </c>
      <c r="D11" s="173"/>
      <c r="E11" s="174"/>
      <c r="F11" s="174"/>
      <c r="G11" s="175"/>
      <c r="H11" s="174"/>
      <c r="I11" s="176"/>
      <c r="J11" s="177"/>
      <c r="K11" s="177"/>
      <c r="L11" s="178"/>
      <c r="M11" s="177"/>
      <c r="N11" s="177"/>
      <c r="O11" s="177"/>
      <c r="P11" s="177"/>
    </row>
    <row r="12" spans="1:16" ht="15.75">
      <c r="A12" s="2443" t="s">
        <v>836</v>
      </c>
      <c r="B12" s="1581"/>
      <c r="C12" s="1581"/>
      <c r="D12" s="1581"/>
      <c r="E12" s="1682"/>
      <c r="F12" s="1581"/>
      <c r="G12" s="1581"/>
      <c r="H12" s="266"/>
      <c r="I12" s="515"/>
      <c r="J12" s="2446" t="s">
        <v>447</v>
      </c>
      <c r="K12" s="2447"/>
      <c r="L12" s="1684" t="s">
        <v>923</v>
      </c>
      <c r="M12" s="2303" t="s">
        <v>443</v>
      </c>
      <c r="N12" s="2304"/>
      <c r="O12" s="2304"/>
      <c r="P12" s="2305"/>
    </row>
    <row r="13" spans="1:16" ht="15.75">
      <c r="A13" s="2444"/>
      <c r="B13" s="149"/>
      <c r="C13" s="149"/>
      <c r="D13" s="149"/>
      <c r="E13" s="149"/>
      <c r="F13" s="149"/>
      <c r="G13" s="149"/>
      <c r="H13" s="219"/>
      <c r="I13" s="122"/>
      <c r="J13" s="2435"/>
      <c r="K13" s="2436"/>
      <c r="L13" s="218" t="s">
        <v>924</v>
      </c>
      <c r="M13" s="2306" t="s">
        <v>233</v>
      </c>
      <c r="N13" s="2307"/>
      <c r="O13" s="2307"/>
      <c r="P13" s="2308"/>
    </row>
    <row r="14" spans="1:16" ht="15.75">
      <c r="A14" s="2444"/>
      <c r="B14" s="149"/>
      <c r="C14" s="149"/>
      <c r="D14" s="149"/>
      <c r="E14" s="119" t="s">
        <v>445</v>
      </c>
      <c r="F14" s="149"/>
      <c r="G14" s="149"/>
      <c r="H14" s="219"/>
      <c r="I14" s="1688" t="s">
        <v>513</v>
      </c>
      <c r="J14" s="1683" t="s">
        <v>926</v>
      </c>
      <c r="K14" s="1685" t="s">
        <v>927</v>
      </c>
      <c r="L14" s="218" t="s">
        <v>448</v>
      </c>
      <c r="M14" s="2392" t="s">
        <v>509</v>
      </c>
      <c r="N14" s="2350"/>
      <c r="O14" s="2349" t="s">
        <v>510</v>
      </c>
      <c r="P14" s="2350"/>
    </row>
    <row r="15" spans="1:16" ht="15.75">
      <c r="A15" s="2444"/>
      <c r="B15" s="119"/>
      <c r="C15" s="119"/>
      <c r="D15" s="119"/>
      <c r="E15" s="119"/>
      <c r="F15" s="149"/>
      <c r="G15" s="149"/>
      <c r="H15" s="122"/>
      <c r="I15" s="122" t="s">
        <v>928</v>
      </c>
      <c r="J15" s="217" t="s">
        <v>929</v>
      </c>
      <c r="K15" s="121" t="s">
        <v>930</v>
      </c>
      <c r="L15" s="218" t="s">
        <v>452</v>
      </c>
      <c r="M15" s="1560" t="s">
        <v>926</v>
      </c>
      <c r="N15" s="1564" t="s">
        <v>927</v>
      </c>
      <c r="O15" s="1561" t="s">
        <v>926</v>
      </c>
      <c r="P15" s="1564" t="s">
        <v>927</v>
      </c>
    </row>
    <row r="16" spans="1:16" ht="15.75">
      <c r="A16" s="2444"/>
      <c r="B16" s="149"/>
      <c r="C16" s="149"/>
      <c r="D16" s="149"/>
      <c r="E16" s="149"/>
      <c r="F16" s="149"/>
      <c r="G16" s="119"/>
      <c r="H16" s="122"/>
      <c r="I16" s="122" t="s">
        <v>931</v>
      </c>
      <c r="J16" s="217"/>
      <c r="K16" s="121" t="s">
        <v>932</v>
      </c>
      <c r="L16" s="1686"/>
      <c r="M16" s="1566" t="s">
        <v>929</v>
      </c>
      <c r="N16" s="1565" t="s">
        <v>930</v>
      </c>
      <c r="O16" s="169" t="s">
        <v>929</v>
      </c>
      <c r="P16" s="1565" t="s">
        <v>930</v>
      </c>
    </row>
    <row r="17" spans="1:16" ht="15.75">
      <c r="A17" s="2444"/>
      <c r="B17" s="149"/>
      <c r="C17" s="149"/>
      <c r="D17" s="149"/>
      <c r="E17" s="149"/>
      <c r="F17" s="149"/>
      <c r="G17" s="119"/>
      <c r="H17" s="122"/>
      <c r="I17" s="122"/>
      <c r="J17" s="217"/>
      <c r="K17" s="121"/>
      <c r="L17" s="1686"/>
      <c r="M17" s="1566"/>
      <c r="N17" s="1565" t="s">
        <v>932</v>
      </c>
      <c r="O17" s="169"/>
      <c r="P17" s="1565" t="s">
        <v>932</v>
      </c>
    </row>
    <row r="18" spans="1:16" ht="15.75">
      <c r="A18" s="2445"/>
      <c r="B18" s="278"/>
      <c r="C18" s="278"/>
      <c r="D18" s="278"/>
      <c r="E18" s="278"/>
      <c r="F18" s="278"/>
      <c r="G18" s="278"/>
      <c r="H18" s="324"/>
      <c r="I18" s="120"/>
      <c r="J18" s="1049" t="s">
        <v>933</v>
      </c>
      <c r="K18" s="234" t="s">
        <v>457</v>
      </c>
      <c r="L18" s="1687" t="s">
        <v>457</v>
      </c>
      <c r="M18" s="1562" t="s">
        <v>457</v>
      </c>
      <c r="N18" s="1567" t="s">
        <v>457</v>
      </c>
      <c r="O18" s="1563" t="s">
        <v>457</v>
      </c>
      <c r="P18" s="1567" t="s">
        <v>457</v>
      </c>
    </row>
    <row r="19" spans="1:16" ht="15.75">
      <c r="A19" s="963"/>
      <c r="B19" s="1691" t="s">
        <v>934</v>
      </c>
      <c r="C19" s="1680"/>
      <c r="D19" s="1680"/>
      <c r="E19" s="1680"/>
      <c r="F19" s="1680"/>
      <c r="G19" s="1680"/>
      <c r="H19" s="1681"/>
      <c r="I19" s="485"/>
      <c r="J19" s="486"/>
      <c r="K19" s="487"/>
      <c r="L19" s="488"/>
      <c r="M19" s="1689"/>
      <c r="N19" s="949"/>
      <c r="O19" s="489"/>
      <c r="P19" s="948"/>
    </row>
    <row r="20" spans="1:16" ht="15.75">
      <c r="A20" s="964"/>
      <c r="B20" s="1692" t="s">
        <v>64</v>
      </c>
      <c r="C20" s="127"/>
      <c r="D20" s="127"/>
      <c r="E20" s="127"/>
      <c r="F20" s="127"/>
      <c r="G20" s="127"/>
      <c r="H20" s="379"/>
      <c r="I20" s="217"/>
      <c r="J20" s="123"/>
      <c r="K20" s="149"/>
      <c r="L20" s="1297"/>
      <c r="M20" s="522"/>
      <c r="N20" s="123"/>
      <c r="O20" s="149"/>
      <c r="P20" s="123"/>
    </row>
    <row r="21" spans="1:16" ht="33.75" customHeight="1">
      <c r="A21" s="1729">
        <v>1</v>
      </c>
      <c r="B21" s="2437" t="s">
        <v>232</v>
      </c>
      <c r="C21" s="2438"/>
      <c r="D21" s="2438"/>
      <c r="E21" s="2438"/>
      <c r="F21" s="2438"/>
      <c r="G21" s="2438"/>
      <c r="H21" s="2439"/>
      <c r="I21" s="217"/>
      <c r="J21" s="123"/>
      <c r="K21" s="149"/>
      <c r="L21" s="1297"/>
      <c r="M21" s="1583"/>
      <c r="N21" s="213"/>
      <c r="O21" s="483"/>
      <c r="P21" s="123"/>
    </row>
    <row r="22" spans="1:16" ht="30" customHeight="1">
      <c r="A22" s="1730" t="s">
        <v>125</v>
      </c>
      <c r="B22" s="2463" t="s">
        <v>210</v>
      </c>
      <c r="C22" s="2464"/>
      <c r="D22" s="2464"/>
      <c r="E22" s="2464"/>
      <c r="F22" s="2464"/>
      <c r="G22" s="2464"/>
      <c r="H22" s="2465"/>
      <c r="I22" s="657" t="s">
        <v>945</v>
      </c>
      <c r="J22" s="1671">
        <f>'бак.лаб.'!J22</f>
        <v>2.23</v>
      </c>
      <c r="K22" s="1672" t="s">
        <v>622</v>
      </c>
      <c r="L22" s="1673">
        <f>'[1]бак нов'!$I$49</f>
        <v>4100</v>
      </c>
      <c r="M22" s="1697">
        <f>J22+L22</f>
        <v>4102.23</v>
      </c>
      <c r="N22" s="1703" t="s">
        <v>622</v>
      </c>
      <c r="O22" s="1700">
        <f>M22/10000</f>
        <v>0.41022299999999995</v>
      </c>
      <c r="P22" s="1703" t="s">
        <v>622</v>
      </c>
    </row>
    <row r="23" spans="1:16" ht="17.25">
      <c r="A23" s="1729" t="s">
        <v>126</v>
      </c>
      <c r="B23" s="127" t="s">
        <v>414</v>
      </c>
      <c r="C23" s="127"/>
      <c r="D23" s="127"/>
      <c r="E23" s="127"/>
      <c r="F23" s="127"/>
      <c r="G23" s="127"/>
      <c r="H23" s="379"/>
      <c r="I23" s="216" t="s">
        <v>945</v>
      </c>
      <c r="J23" s="1674"/>
      <c r="K23" s="1677" t="s">
        <v>622</v>
      </c>
      <c r="L23" s="1675">
        <f>'[1]бак нов'!$I$39</f>
        <v>50100</v>
      </c>
      <c r="M23" s="1698">
        <f>J23+L23</f>
        <v>50100</v>
      </c>
      <c r="N23" s="1705" t="s">
        <v>622</v>
      </c>
      <c r="O23" s="1700">
        <f>M23/10000</f>
        <v>5.01</v>
      </c>
      <c r="P23" s="1705" t="s">
        <v>622</v>
      </c>
    </row>
    <row r="24" spans="1:16" ht="31.5" customHeight="1">
      <c r="A24" s="1731" t="s">
        <v>124</v>
      </c>
      <c r="B24" s="2440" t="s">
        <v>218</v>
      </c>
      <c r="C24" s="2441"/>
      <c r="D24" s="2441"/>
      <c r="E24" s="2441"/>
      <c r="F24" s="2441"/>
      <c r="G24" s="2441"/>
      <c r="H24" s="2442"/>
      <c r="I24" s="502"/>
      <c r="J24" s="1674"/>
      <c r="K24" s="1678"/>
      <c r="L24" s="1675"/>
      <c r="M24" s="1699"/>
      <c r="N24" s="1706"/>
      <c r="O24" s="1701"/>
      <c r="P24" s="1706"/>
    </row>
    <row r="25" spans="1:16" ht="17.25">
      <c r="A25" s="1731"/>
      <c r="B25" s="1678" t="s">
        <v>219</v>
      </c>
      <c r="C25" s="1678"/>
      <c r="D25" s="1678"/>
      <c r="E25" s="1678"/>
      <c r="F25" s="1678"/>
      <c r="G25" s="1678"/>
      <c r="H25" s="1695"/>
      <c r="I25" s="502"/>
      <c r="J25" s="1674"/>
      <c r="K25" s="1678"/>
      <c r="L25" s="1675"/>
      <c r="M25" s="1699"/>
      <c r="N25" s="1706"/>
      <c r="O25" s="1701"/>
      <c r="P25" s="1706"/>
    </row>
    <row r="26" spans="1:16" ht="17.25">
      <c r="A26" s="1731" t="s">
        <v>127</v>
      </c>
      <c r="B26" s="1678" t="s">
        <v>220</v>
      </c>
      <c r="C26" s="1678"/>
      <c r="D26" s="1678"/>
      <c r="E26" s="1678"/>
      <c r="F26" s="1678"/>
      <c r="G26" s="1678"/>
      <c r="H26" s="1695"/>
      <c r="I26" s="503" t="s">
        <v>945</v>
      </c>
      <c r="J26" s="1674">
        <f>'бак.лаб.'!J36</f>
        <v>2.23</v>
      </c>
      <c r="K26" s="1679" t="s">
        <v>622</v>
      </c>
      <c r="L26" s="1675">
        <f>'[1]бак нов'!$I$105</f>
        <v>4400</v>
      </c>
      <c r="M26" s="1699">
        <f>J26+L26</f>
        <v>4402.23</v>
      </c>
      <c r="N26" s="1706" t="s">
        <v>622</v>
      </c>
      <c r="O26" s="1700">
        <f>M26/10000</f>
        <v>0.440223</v>
      </c>
      <c r="P26" s="1706" t="s">
        <v>622</v>
      </c>
    </row>
    <row r="27" spans="1:16" ht="17.25">
      <c r="A27" s="1731" t="s">
        <v>128</v>
      </c>
      <c r="B27" s="1678" t="s">
        <v>221</v>
      </c>
      <c r="C27" s="1678"/>
      <c r="D27" s="1678"/>
      <c r="E27" s="1678"/>
      <c r="F27" s="1678"/>
      <c r="G27" s="1678"/>
      <c r="H27" s="1695"/>
      <c r="I27" s="503" t="s">
        <v>945</v>
      </c>
      <c r="J27" s="1676">
        <f>'бак.лаб.'!J37</f>
        <v>1.7</v>
      </c>
      <c r="K27" s="1679" t="s">
        <v>622</v>
      </c>
      <c r="L27" s="1675">
        <f>'[2]Лист1'!$I$16</f>
        <v>700</v>
      </c>
      <c r="M27" s="1699">
        <f>J27+L27</f>
        <v>701.7</v>
      </c>
      <c r="N27" s="1706" t="s">
        <v>622</v>
      </c>
      <c r="O27" s="1700">
        <f>M27/10000</f>
        <v>0.07017000000000001</v>
      </c>
      <c r="P27" s="1706" t="s">
        <v>622</v>
      </c>
    </row>
    <row r="28" spans="1:16" ht="17.25">
      <c r="A28" s="1731" t="s">
        <v>129</v>
      </c>
      <c r="B28" s="1678" t="s">
        <v>413</v>
      </c>
      <c r="C28" s="1678"/>
      <c r="D28" s="1678"/>
      <c r="E28" s="1678"/>
      <c r="F28" s="1678"/>
      <c r="G28" s="1678"/>
      <c r="H28" s="1695"/>
      <c r="I28" s="503" t="s">
        <v>945</v>
      </c>
      <c r="J28" s="1676">
        <f>'бак.лаб.'!J38</f>
        <v>2.9</v>
      </c>
      <c r="K28" s="1679" t="s">
        <v>622</v>
      </c>
      <c r="L28" s="1675">
        <f>'[1]бак нов'!$I$119</f>
        <v>57300</v>
      </c>
      <c r="M28" s="1699">
        <f>J28+L28</f>
        <v>57302.9</v>
      </c>
      <c r="N28" s="1706" t="s">
        <v>622</v>
      </c>
      <c r="O28" s="1700">
        <f>M28/10000</f>
        <v>5.73029</v>
      </c>
      <c r="P28" s="1706" t="s">
        <v>622</v>
      </c>
    </row>
    <row r="29" spans="1:16" ht="48.75" customHeight="1">
      <c r="A29" s="1729" t="s">
        <v>130</v>
      </c>
      <c r="B29" s="2437" t="s">
        <v>231</v>
      </c>
      <c r="C29" s="2438"/>
      <c r="D29" s="2438"/>
      <c r="E29" s="2438"/>
      <c r="F29" s="2438"/>
      <c r="G29" s="2438"/>
      <c r="H29" s="2439"/>
      <c r="I29" s="217"/>
      <c r="J29" s="1674"/>
      <c r="K29" s="167"/>
      <c r="L29" s="1675"/>
      <c r="M29" s="1698"/>
      <c r="N29" s="1705"/>
      <c r="O29" s="1585"/>
      <c r="P29" s="1705"/>
    </row>
    <row r="30" spans="1:16" ht="17.25">
      <c r="A30" s="1729" t="s">
        <v>131</v>
      </c>
      <c r="B30" s="127" t="s">
        <v>414</v>
      </c>
      <c r="C30" s="127"/>
      <c r="D30" s="127"/>
      <c r="E30" s="127"/>
      <c r="F30" s="127"/>
      <c r="G30" s="127"/>
      <c r="H30" s="379"/>
      <c r="I30" s="216" t="s">
        <v>945</v>
      </c>
      <c r="J30" s="1676">
        <f>'бак.лаб.'!J45</f>
        <v>1.39</v>
      </c>
      <c r="K30" s="1677" t="s">
        <v>622</v>
      </c>
      <c r="L30" s="1690">
        <f>'[1]бак нов'!$I$39</f>
        <v>50100</v>
      </c>
      <c r="M30" s="1698">
        <f>J30+L30</f>
        <v>50101.39</v>
      </c>
      <c r="N30" s="1705" t="s">
        <v>622</v>
      </c>
      <c r="O30" s="1700">
        <f>M30/10000</f>
        <v>5.010139</v>
      </c>
      <c r="P30" s="1705" t="s">
        <v>622</v>
      </c>
    </row>
    <row r="31" spans="1:16" ht="33" customHeight="1">
      <c r="A31" s="1729" t="s">
        <v>132</v>
      </c>
      <c r="B31" s="2463" t="s">
        <v>210</v>
      </c>
      <c r="C31" s="2464"/>
      <c r="D31" s="2464"/>
      <c r="E31" s="2464"/>
      <c r="F31" s="2464"/>
      <c r="G31" s="2464"/>
      <c r="H31" s="2465"/>
      <c r="I31" s="216" t="s">
        <v>945</v>
      </c>
      <c r="J31" s="1674"/>
      <c r="K31" s="1677" t="s">
        <v>622</v>
      </c>
      <c r="L31" s="1675">
        <f>'[1]бак нов'!$I$49</f>
        <v>4100</v>
      </c>
      <c r="M31" s="1698">
        <f>J31+L31</f>
        <v>4100</v>
      </c>
      <c r="N31" s="1705" t="s">
        <v>622</v>
      </c>
      <c r="O31" s="1700">
        <f>M31/10000</f>
        <v>0.41</v>
      </c>
      <c r="P31" s="1705" t="s">
        <v>622</v>
      </c>
    </row>
    <row r="32" spans="1:16" ht="30" customHeight="1">
      <c r="A32" s="1729" t="s">
        <v>133</v>
      </c>
      <c r="B32" s="2437" t="s">
        <v>134</v>
      </c>
      <c r="C32" s="2438"/>
      <c r="D32" s="2438"/>
      <c r="E32" s="2438"/>
      <c r="F32" s="2438"/>
      <c r="G32" s="2438"/>
      <c r="H32" s="2439"/>
      <c r="I32" s="216"/>
      <c r="J32" s="1674"/>
      <c r="K32" s="1677"/>
      <c r="L32" s="1675"/>
      <c r="M32" s="1698"/>
      <c r="N32" s="1705"/>
      <c r="O32" s="1700"/>
      <c r="P32" s="1705"/>
    </row>
    <row r="33" spans="1:16" ht="17.25">
      <c r="A33" s="1729" t="s">
        <v>135</v>
      </c>
      <c r="B33" s="127" t="s">
        <v>414</v>
      </c>
      <c r="C33" s="127"/>
      <c r="D33" s="127"/>
      <c r="E33" s="127"/>
      <c r="F33" s="127"/>
      <c r="G33" s="127"/>
      <c r="H33" s="379"/>
      <c r="I33" s="216" t="s">
        <v>945</v>
      </c>
      <c r="J33" s="1674"/>
      <c r="K33" s="1677" t="s">
        <v>622</v>
      </c>
      <c r="L33" s="1675">
        <f>'[1]бак нов'!$I$74</f>
        <v>49700</v>
      </c>
      <c r="M33" s="1698">
        <f>J33+L33</f>
        <v>49700</v>
      </c>
      <c r="N33" s="1705" t="s">
        <v>622</v>
      </c>
      <c r="O33" s="1700">
        <f>M33/10000</f>
        <v>4.97</v>
      </c>
      <c r="P33" s="1705" t="s">
        <v>622</v>
      </c>
    </row>
    <row r="34" spans="1:16" ht="33" customHeight="1">
      <c r="A34" s="1729" t="s">
        <v>136</v>
      </c>
      <c r="B34" s="2463" t="s">
        <v>210</v>
      </c>
      <c r="C34" s="2464"/>
      <c r="D34" s="2464"/>
      <c r="E34" s="2464"/>
      <c r="F34" s="2464"/>
      <c r="G34" s="2464"/>
      <c r="H34" s="2465"/>
      <c r="I34" s="216" t="s">
        <v>945</v>
      </c>
      <c r="J34" s="1674"/>
      <c r="K34" s="1677" t="s">
        <v>622</v>
      </c>
      <c r="L34" s="1675">
        <f>'[1]бак нов'!$I$84</f>
        <v>4100</v>
      </c>
      <c r="M34" s="1698">
        <f>J34+L34</f>
        <v>4100</v>
      </c>
      <c r="N34" s="1705" t="s">
        <v>622</v>
      </c>
      <c r="O34" s="1700">
        <f>M34/10000</f>
        <v>0.41</v>
      </c>
      <c r="P34" s="1705" t="s">
        <v>622</v>
      </c>
    </row>
    <row r="35" spans="1:16" ht="17.25">
      <c r="A35" s="1729" t="s">
        <v>138</v>
      </c>
      <c r="B35" s="2437" t="s">
        <v>137</v>
      </c>
      <c r="C35" s="2438"/>
      <c r="D35" s="2438"/>
      <c r="E35" s="2438"/>
      <c r="F35" s="2438"/>
      <c r="G35" s="2438"/>
      <c r="H35" s="2439"/>
      <c r="I35" s="217"/>
      <c r="J35" s="1674"/>
      <c r="K35" s="167"/>
      <c r="L35" s="1675"/>
      <c r="M35" s="1698"/>
      <c r="N35" s="1705"/>
      <c r="O35" s="1585"/>
      <c r="P35" s="1705"/>
    </row>
    <row r="36" spans="1:16" ht="30.75" customHeight="1">
      <c r="A36" s="1732" t="s">
        <v>139</v>
      </c>
      <c r="B36" s="2463" t="s">
        <v>210</v>
      </c>
      <c r="C36" s="2464"/>
      <c r="D36" s="2464"/>
      <c r="E36" s="2464"/>
      <c r="F36" s="2464"/>
      <c r="G36" s="2464"/>
      <c r="H36" s="2465"/>
      <c r="I36" s="216" t="s">
        <v>945</v>
      </c>
      <c r="J36" s="1674"/>
      <c r="K36" s="1677" t="s">
        <v>622</v>
      </c>
      <c r="L36" s="1690">
        <f>L22</f>
        <v>4100</v>
      </c>
      <c r="M36" s="1698">
        <f>J36+L36</f>
        <v>4100</v>
      </c>
      <c r="N36" s="1705" t="s">
        <v>622</v>
      </c>
      <c r="O36" s="1700">
        <f>M36/10000</f>
        <v>0.41</v>
      </c>
      <c r="P36" s="1705" t="s">
        <v>622</v>
      </c>
    </row>
    <row r="37" spans="1:16" ht="17.25">
      <c r="A37" s="1732" t="s">
        <v>140</v>
      </c>
      <c r="B37" s="127" t="s">
        <v>414</v>
      </c>
      <c r="C37" s="127"/>
      <c r="D37" s="127"/>
      <c r="E37" s="127"/>
      <c r="F37" s="127"/>
      <c r="G37" s="127"/>
      <c r="H37" s="379"/>
      <c r="I37" s="216" t="s">
        <v>945</v>
      </c>
      <c r="J37" s="1674"/>
      <c r="K37" s="167"/>
      <c r="L37" s="1675">
        <f>L23</f>
        <v>50100</v>
      </c>
      <c r="M37" s="1698">
        <f>J37+L37</f>
        <v>50100</v>
      </c>
      <c r="N37" s="1705"/>
      <c r="O37" s="1654">
        <f>M37/10000</f>
        <v>5.01</v>
      </c>
      <c r="P37" s="1705"/>
    </row>
    <row r="38" spans="1:16" ht="32.25" customHeight="1">
      <c r="A38" s="1729" t="s">
        <v>141</v>
      </c>
      <c r="B38" s="2466" t="s">
        <v>142</v>
      </c>
      <c r="C38" s="2467"/>
      <c r="D38" s="2467"/>
      <c r="E38" s="2467"/>
      <c r="F38" s="2467"/>
      <c r="G38" s="2467"/>
      <c r="H38" s="2468"/>
      <c r="I38" s="216"/>
      <c r="J38" s="1674"/>
      <c r="K38" s="1677"/>
      <c r="L38" s="1675"/>
      <c r="M38" s="1698"/>
      <c r="N38" s="1705"/>
      <c r="O38" s="1700"/>
      <c r="P38" s="1705"/>
    </row>
    <row r="39" spans="1:16" ht="34.5" customHeight="1">
      <c r="A39" s="1729" t="s">
        <v>143</v>
      </c>
      <c r="B39" s="2463" t="s">
        <v>210</v>
      </c>
      <c r="C39" s="2464"/>
      <c r="D39" s="2464"/>
      <c r="E39" s="2464"/>
      <c r="F39" s="2464"/>
      <c r="G39" s="2464"/>
      <c r="H39" s="2465"/>
      <c r="I39" s="216" t="s">
        <v>945</v>
      </c>
      <c r="J39" s="1674"/>
      <c r="K39" s="1677" t="s">
        <v>622</v>
      </c>
      <c r="L39" s="1675">
        <f>L36</f>
        <v>4100</v>
      </c>
      <c r="M39" s="1583">
        <f>J39+L39</f>
        <v>4100</v>
      </c>
      <c r="N39" s="1705"/>
      <c r="O39" s="1654">
        <f>M39/10000</f>
        <v>0.41</v>
      </c>
      <c r="P39" s="1705"/>
    </row>
    <row r="40" spans="1:16" ht="17.25">
      <c r="A40" s="1729" t="s">
        <v>144</v>
      </c>
      <c r="B40" s="127" t="s">
        <v>414</v>
      </c>
      <c r="C40" s="127"/>
      <c r="D40" s="127"/>
      <c r="E40" s="127"/>
      <c r="F40" s="127"/>
      <c r="G40" s="127"/>
      <c r="H40" s="379"/>
      <c r="I40" s="216" t="s">
        <v>945</v>
      </c>
      <c r="J40" s="1674"/>
      <c r="K40" s="1677" t="s">
        <v>622</v>
      </c>
      <c r="L40" s="1675">
        <f>L37</f>
        <v>50100</v>
      </c>
      <c r="M40" s="1583">
        <f>J40+L40</f>
        <v>50100</v>
      </c>
      <c r="N40" s="1705"/>
      <c r="O40" s="1700">
        <f>M40/10000</f>
        <v>5.01</v>
      </c>
      <c r="P40" s="1705"/>
    </row>
    <row r="41" spans="1:16" ht="17.25">
      <c r="A41" s="1733" t="s">
        <v>145</v>
      </c>
      <c r="B41" s="1743" t="s">
        <v>146</v>
      </c>
      <c r="C41" s="1734"/>
      <c r="D41" s="1734"/>
      <c r="E41" s="1734"/>
      <c r="F41" s="1734"/>
      <c r="G41" s="1734"/>
      <c r="H41" s="1735"/>
      <c r="I41" s="1736" t="s">
        <v>945</v>
      </c>
      <c r="J41" s="1737">
        <f>'бак.лаб.'!J52</f>
        <v>4.4</v>
      </c>
      <c r="K41" s="1738" t="s">
        <v>622</v>
      </c>
      <c r="L41" s="1739">
        <f>'[1]бак нов'!$I$57</f>
        <v>16600</v>
      </c>
      <c r="M41" s="1740">
        <f>J41+L41</f>
        <v>16604.4</v>
      </c>
      <c r="N41" s="1741"/>
      <c r="O41" s="1742">
        <f>M41/10000</f>
        <v>1.6604400000000001</v>
      </c>
      <c r="P41" s="1741"/>
    </row>
    <row r="42" spans="1:16" ht="12.75">
      <c r="A42" s="158"/>
      <c r="B42" s="149"/>
      <c r="C42" s="149"/>
      <c r="D42" s="149"/>
      <c r="E42" s="149"/>
      <c r="F42" s="149"/>
      <c r="G42" s="149"/>
      <c r="H42" s="149"/>
      <c r="I42" s="119"/>
      <c r="J42" s="150"/>
      <c r="K42" s="150"/>
      <c r="L42" s="256"/>
      <c r="M42" s="150"/>
      <c r="N42" s="150"/>
      <c r="O42" s="150"/>
      <c r="P42" s="150"/>
    </row>
    <row r="43" spans="1:16" ht="15.75">
      <c r="A43" s="325" t="str">
        <f>'прейск-т'!A1212</f>
        <v>Главный бухгалтер</v>
      </c>
      <c r="B43" s="167"/>
      <c r="C43" s="167"/>
      <c r="D43" s="167"/>
      <c r="E43" s="167"/>
      <c r="F43" s="167"/>
      <c r="G43" s="167"/>
      <c r="H43" s="167"/>
      <c r="I43" s="325"/>
      <c r="J43" s="166"/>
      <c r="K43" s="325"/>
      <c r="L43" s="1704"/>
      <c r="M43" s="325"/>
      <c r="N43" s="325" t="str">
        <f>'лаб-рия'!N899</f>
        <v>М.В. Ровгач</v>
      </c>
      <c r="O43" s="325"/>
      <c r="P43" s="165"/>
    </row>
    <row r="44" spans="1:16" ht="15.75">
      <c r="A44" s="1709"/>
      <c r="B44" s="167"/>
      <c r="C44" s="167"/>
      <c r="D44" s="167"/>
      <c r="E44" s="167"/>
      <c r="F44" s="167"/>
      <c r="G44" s="167"/>
      <c r="H44" s="167"/>
      <c r="I44" s="325"/>
      <c r="J44" s="166"/>
      <c r="K44" s="325"/>
      <c r="L44" s="1704"/>
      <c r="M44" s="325"/>
      <c r="N44" s="325"/>
      <c r="O44" s="325"/>
      <c r="P44" s="165"/>
    </row>
    <row r="45" spans="1:16" ht="15.75">
      <c r="A45" s="325" t="str">
        <f>'прейск-т'!A1215</f>
        <v>Бухгалтер</v>
      </c>
      <c r="B45" s="834"/>
      <c r="C45" s="165"/>
      <c r="D45" s="165"/>
      <c r="E45" s="165"/>
      <c r="F45" s="165"/>
      <c r="G45" s="834"/>
      <c r="H45" s="834"/>
      <c r="I45" s="834"/>
      <c r="J45" s="834"/>
      <c r="K45" s="326"/>
      <c r="L45" s="165"/>
      <c r="M45" s="325"/>
      <c r="N45" s="325" t="str">
        <f>'лаб-рия'!N901</f>
        <v>О.Н.Гаркавая</v>
      </c>
      <c r="O45" s="325"/>
      <c r="P45" s="165"/>
    </row>
    <row r="46" spans="1:16" ht="15.75">
      <c r="A46" s="325"/>
      <c r="B46" s="834"/>
      <c r="C46" s="165"/>
      <c r="D46" s="165"/>
      <c r="E46" s="165"/>
      <c r="F46" s="165"/>
      <c r="G46" s="834"/>
      <c r="H46" s="834"/>
      <c r="I46" s="834"/>
      <c r="J46" s="834"/>
      <c r="K46" s="326"/>
      <c r="L46" s="165"/>
      <c r="M46" s="325"/>
      <c r="N46" s="325"/>
      <c r="O46" s="325"/>
      <c r="P46" s="165"/>
    </row>
    <row r="47" spans="1:16" ht="15.75">
      <c r="A47" s="325" t="str">
        <f>'прейск-т'!A1218</f>
        <v>Начальник  ПЭО</v>
      </c>
      <c r="B47" s="165"/>
      <c r="C47" s="165"/>
      <c r="D47" s="165"/>
      <c r="E47" s="165"/>
      <c r="F47" s="165"/>
      <c r="G47" s="834"/>
      <c r="H47" s="834"/>
      <c r="I47" s="834"/>
      <c r="J47" s="834"/>
      <c r="K47" s="326"/>
      <c r="L47" s="165"/>
      <c r="M47" s="325"/>
      <c r="N47" s="325" t="str">
        <f>'лаб-рия'!N903</f>
        <v>В.К.Лысая</v>
      </c>
      <c r="O47" s="325"/>
      <c r="P47" s="165"/>
    </row>
    <row r="48" spans="1:16" ht="15.75">
      <c r="A48" s="325"/>
      <c r="B48" s="165"/>
      <c r="C48" s="165"/>
      <c r="D48" s="165"/>
      <c r="E48" s="165"/>
      <c r="F48" s="165"/>
      <c r="G48" s="834"/>
      <c r="H48" s="834"/>
      <c r="I48" s="834"/>
      <c r="J48" s="834"/>
      <c r="K48" s="326"/>
      <c r="L48" s="165"/>
      <c r="M48" s="325"/>
      <c r="N48" s="325"/>
      <c r="O48" s="325"/>
      <c r="P48" s="165"/>
    </row>
    <row r="49" spans="1:16" ht="15.75">
      <c r="A49" s="325" t="s">
        <v>831</v>
      </c>
      <c r="B49" s="165"/>
      <c r="C49" s="165"/>
      <c r="D49" s="165"/>
      <c r="E49" s="165"/>
      <c r="F49" s="165"/>
      <c r="G49" s="834"/>
      <c r="H49" s="834"/>
      <c r="I49" s="834"/>
      <c r="J49" s="834"/>
      <c r="K49" s="326"/>
      <c r="L49" s="165"/>
      <c r="M49" s="325"/>
      <c r="N49" s="325" t="str">
        <f>'лаб-рия'!N905</f>
        <v>Е.О.Андреева</v>
      </c>
      <c r="O49" s="325"/>
      <c r="P49" s="165"/>
    </row>
  </sheetData>
  <sheetProtection/>
  <mergeCells count="22">
    <mergeCell ref="B39:H39"/>
    <mergeCell ref="A12:A18"/>
    <mergeCell ref="B35:H35"/>
    <mergeCell ref="B22:H22"/>
    <mergeCell ref="B31:H31"/>
    <mergeCell ref="B34:H34"/>
    <mergeCell ref="B21:H21"/>
    <mergeCell ref="B24:H24"/>
    <mergeCell ref="B36:H36"/>
    <mergeCell ref="B38:H38"/>
    <mergeCell ref="J13:K13"/>
    <mergeCell ref="M13:P13"/>
    <mergeCell ref="B29:H29"/>
    <mergeCell ref="B32:H32"/>
    <mergeCell ref="M14:N14"/>
    <mergeCell ref="O14:P14"/>
    <mergeCell ref="J12:K12"/>
    <mergeCell ref="M12:P12"/>
    <mergeCell ref="L4:M4"/>
    <mergeCell ref="A5:P5"/>
    <mergeCell ref="A8:P8"/>
    <mergeCell ref="A9:P9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1"/>
  <sheetViews>
    <sheetView view="pageBreakPreview" zoomScale="150" zoomScaleSheetLayoutView="150" zoomScalePageLayoutView="0" workbookViewId="0" topLeftCell="A1">
      <selection activeCell="I4" sqref="I4"/>
    </sheetView>
  </sheetViews>
  <sheetFormatPr defaultColWidth="9.140625" defaultRowHeight="12.75"/>
  <cols>
    <col min="1" max="1" width="5.140625" style="553" customWidth="1"/>
    <col min="2" max="5" width="9.140625" style="553" customWidth="1"/>
    <col min="6" max="6" width="8.00390625" style="553" customWidth="1"/>
    <col min="7" max="7" width="10.8515625" style="553" customWidth="1"/>
    <col min="8" max="8" width="11.57421875" style="553" bestFit="1" customWidth="1"/>
    <col min="9" max="9" width="12.7109375" style="553" bestFit="1" customWidth="1"/>
    <col min="10" max="10" width="12.7109375" style="553" customWidth="1"/>
    <col min="11" max="16384" width="9.140625" style="553" customWidth="1"/>
  </cols>
  <sheetData>
    <row r="1" spans="1:10" ht="15.75">
      <c r="A1" s="549"/>
      <c r="B1" s="550"/>
      <c r="C1" s="550"/>
      <c r="D1" s="550"/>
      <c r="E1" s="550"/>
      <c r="F1" s="550"/>
      <c r="G1" s="551"/>
      <c r="H1" s="551" t="s">
        <v>178</v>
      </c>
      <c r="I1" s="552"/>
      <c r="J1" s="552"/>
    </row>
    <row r="2" spans="1:10" ht="15.75">
      <c r="A2" s="549"/>
      <c r="B2" s="550"/>
      <c r="C2" s="550"/>
      <c r="D2" s="550"/>
      <c r="E2" s="550"/>
      <c r="F2" s="550"/>
      <c r="G2" s="551"/>
      <c r="H2" s="551"/>
      <c r="I2" s="552"/>
      <c r="J2" s="554" t="s">
        <v>437</v>
      </c>
    </row>
    <row r="3" spans="1:10" ht="15.75">
      <c r="A3" s="549"/>
      <c r="B3" s="550"/>
      <c r="C3" s="550"/>
      <c r="D3" s="550"/>
      <c r="E3" s="550"/>
      <c r="F3" s="550"/>
      <c r="G3" s="551"/>
      <c r="H3" s="555"/>
      <c r="I3" s="552"/>
      <c r="J3" s="554" t="s">
        <v>405</v>
      </c>
    </row>
    <row r="4" spans="1:10" ht="15.75">
      <c r="A4" s="549"/>
      <c r="B4" s="550"/>
      <c r="C4" s="550"/>
      <c r="D4" s="550"/>
      <c r="E4" s="550"/>
      <c r="F4" s="550"/>
      <c r="G4" s="551"/>
      <c r="H4" s="556">
        <v>9</v>
      </c>
      <c r="I4" s="557" t="s">
        <v>394</v>
      </c>
      <c r="J4" s="557" t="s">
        <v>17</v>
      </c>
    </row>
    <row r="5" spans="1:10" ht="15.75">
      <c r="A5" s="549"/>
      <c r="B5" s="550"/>
      <c r="C5" s="550"/>
      <c r="D5" s="550"/>
      <c r="E5" s="550"/>
      <c r="F5" s="550"/>
      <c r="G5" s="551"/>
      <c r="H5" s="555"/>
      <c r="I5" s="554"/>
      <c r="J5" s="554"/>
    </row>
    <row r="6" spans="1:10" ht="12.75">
      <c r="A6" s="549"/>
      <c r="B6" s="550"/>
      <c r="C6" s="550"/>
      <c r="D6" s="550"/>
      <c r="E6" s="550"/>
      <c r="F6" s="550"/>
      <c r="G6" s="558"/>
      <c r="H6" s="549"/>
      <c r="I6" s="550"/>
      <c r="J6" s="550"/>
    </row>
    <row r="7" spans="1:10" ht="15.75">
      <c r="A7" s="549"/>
      <c r="B7" s="550"/>
      <c r="C7" s="550"/>
      <c r="D7" s="550"/>
      <c r="E7" s="550"/>
      <c r="F7" s="550"/>
      <c r="G7" s="554"/>
      <c r="H7" s="555"/>
      <c r="I7" s="555"/>
      <c r="J7" s="555"/>
    </row>
    <row r="8" spans="1:10" ht="18.75">
      <c r="A8" s="2458" t="s">
        <v>439</v>
      </c>
      <c r="B8" s="2458"/>
      <c r="C8" s="2458"/>
      <c r="D8" s="2458"/>
      <c r="E8" s="2458"/>
      <c r="F8" s="2458"/>
      <c r="G8" s="2458"/>
      <c r="H8" s="2458"/>
      <c r="I8" s="2458"/>
      <c r="J8" s="2458"/>
    </row>
    <row r="9" spans="1:10" ht="18.75">
      <c r="A9" s="2458" t="s">
        <v>440</v>
      </c>
      <c r="B9" s="2458"/>
      <c r="C9" s="2458"/>
      <c r="D9" s="2458"/>
      <c r="E9" s="2458"/>
      <c r="F9" s="2458"/>
      <c r="G9" s="2458"/>
      <c r="H9" s="2458"/>
      <c r="I9" s="2458"/>
      <c r="J9" s="2458"/>
    </row>
    <row r="10" spans="1:10" ht="19.5">
      <c r="A10" s="559"/>
      <c r="B10" s="559"/>
      <c r="C10" s="559"/>
      <c r="D10" s="559"/>
      <c r="E10" s="559"/>
      <c r="F10" s="559"/>
      <c r="G10" s="559"/>
      <c r="H10" s="559"/>
      <c r="I10" s="559"/>
      <c r="J10" s="559"/>
    </row>
    <row r="11" spans="1:10" ht="12.75">
      <c r="A11" s="549"/>
      <c r="B11" s="550"/>
      <c r="C11" s="550"/>
      <c r="D11" s="550"/>
      <c r="E11" s="550"/>
      <c r="F11" s="550"/>
      <c r="G11" s="558"/>
      <c r="H11" s="549"/>
      <c r="I11" s="550"/>
      <c r="J11" s="550"/>
    </row>
    <row r="12" spans="1:10" ht="15.75">
      <c r="A12" s="549"/>
      <c r="B12" s="608" t="s">
        <v>724</v>
      </c>
      <c r="C12" s="560"/>
      <c r="D12" s="561"/>
      <c r="E12" s="550"/>
      <c r="F12" s="550"/>
      <c r="G12" s="558"/>
      <c r="H12" s="549"/>
      <c r="I12" s="550"/>
      <c r="J12" s="550"/>
    </row>
    <row r="13" spans="1:10" ht="15">
      <c r="A13" s="562"/>
      <c r="B13" s="563"/>
      <c r="C13" s="564"/>
      <c r="D13" s="564"/>
      <c r="E13" s="564"/>
      <c r="F13" s="565"/>
      <c r="G13" s="566"/>
      <c r="H13" s="567"/>
      <c r="I13" s="567" t="s">
        <v>442</v>
      </c>
      <c r="J13" s="568" t="s">
        <v>443</v>
      </c>
    </row>
    <row r="14" spans="1:10" ht="15">
      <c r="A14" s="569" t="s">
        <v>444</v>
      </c>
      <c r="B14" s="2455" t="s">
        <v>445</v>
      </c>
      <c r="C14" s="2456"/>
      <c r="D14" s="2456"/>
      <c r="E14" s="2456"/>
      <c r="F14" s="2457"/>
      <c r="G14" s="569" t="s">
        <v>446</v>
      </c>
      <c r="H14" s="569" t="s">
        <v>447</v>
      </c>
      <c r="I14" s="569" t="s">
        <v>448</v>
      </c>
      <c r="J14" s="573" t="s">
        <v>449</v>
      </c>
    </row>
    <row r="15" spans="1:10" ht="15">
      <c r="A15" s="569" t="s">
        <v>450</v>
      </c>
      <c r="B15" s="570"/>
      <c r="C15" s="571"/>
      <c r="D15" s="571"/>
      <c r="E15" s="571"/>
      <c r="F15" s="572"/>
      <c r="G15" s="569" t="s">
        <v>451</v>
      </c>
      <c r="H15" s="574"/>
      <c r="I15" s="569" t="s">
        <v>452</v>
      </c>
      <c r="J15" s="573" t="s">
        <v>453</v>
      </c>
    </row>
    <row r="16" spans="1:10" ht="15">
      <c r="A16" s="575"/>
      <c r="B16" s="576"/>
      <c r="C16" s="577"/>
      <c r="D16" s="577"/>
      <c r="E16" s="577"/>
      <c r="F16" s="578"/>
      <c r="G16" s="579"/>
      <c r="H16" s="580" t="s">
        <v>457</v>
      </c>
      <c r="I16" s="580" t="s">
        <v>457</v>
      </c>
      <c r="J16" s="581" t="s">
        <v>457</v>
      </c>
    </row>
    <row r="17" spans="1:10" ht="12.75">
      <c r="A17" s="582"/>
      <c r="B17" s="583"/>
      <c r="C17" s="550"/>
      <c r="D17" s="550"/>
      <c r="E17" s="550"/>
      <c r="F17" s="584"/>
      <c r="G17" s="582"/>
      <c r="H17" s="582"/>
      <c r="I17" s="582"/>
      <c r="J17" s="582"/>
    </row>
    <row r="18" spans="1:10" ht="19.5">
      <c r="A18" s="585"/>
      <c r="B18" s="586" t="s">
        <v>775</v>
      </c>
      <c r="C18" s="587"/>
      <c r="D18" s="552"/>
      <c r="E18" s="552"/>
      <c r="F18" s="584"/>
      <c r="G18" s="582"/>
      <c r="H18" s="582"/>
      <c r="I18" s="582"/>
      <c r="J18" s="582"/>
    </row>
    <row r="19" spans="1:10" ht="13.5">
      <c r="A19" s="588"/>
      <c r="B19" s="589"/>
      <c r="C19" s="590"/>
      <c r="D19" s="550"/>
      <c r="E19" s="550"/>
      <c r="F19" s="584"/>
      <c r="G19" s="582"/>
      <c r="H19" s="582"/>
      <c r="I19" s="582"/>
      <c r="J19" s="582"/>
    </row>
    <row r="20" spans="1:10" s="595" customFormat="1" ht="16.5">
      <c r="A20" s="591"/>
      <c r="B20" s="609" t="s">
        <v>776</v>
      </c>
      <c r="C20" s="552"/>
      <c r="D20" s="552"/>
      <c r="E20" s="552"/>
      <c r="F20" s="593"/>
      <c r="G20" s="594"/>
      <c r="H20" s="594"/>
      <c r="I20" s="594"/>
      <c r="J20" s="594"/>
    </row>
    <row r="21" spans="1:10" s="595" customFormat="1" ht="15.75">
      <c r="A21" s="591"/>
      <c r="B21" s="592"/>
      <c r="C21" s="552"/>
      <c r="D21" s="552"/>
      <c r="E21" s="552"/>
      <c r="F21" s="593"/>
      <c r="G21" s="594"/>
      <c r="H21" s="594"/>
      <c r="I21" s="594"/>
      <c r="J21" s="594"/>
    </row>
    <row r="22" spans="1:10" s="595" customFormat="1" ht="15" customHeight="1">
      <c r="A22" s="594"/>
      <c r="B22" s="592"/>
      <c r="C22" s="552"/>
      <c r="D22" s="596" t="s">
        <v>319</v>
      </c>
      <c r="E22" s="552"/>
      <c r="F22" s="610" t="s">
        <v>692</v>
      </c>
      <c r="G22" s="597" t="s">
        <v>460</v>
      </c>
      <c r="H22" s="591">
        <v>18800</v>
      </c>
      <c r="I22" s="1310">
        <f>'[1]Иммун.'!$H$96/10000</f>
        <v>0</v>
      </c>
      <c r="J22" s="599">
        <f>SUM(H22:I22)/10000</f>
        <v>1.88</v>
      </c>
    </row>
    <row r="23" spans="1:10" s="595" customFormat="1" ht="15.75">
      <c r="A23" s="594"/>
      <c r="B23" s="592"/>
      <c r="C23" s="552"/>
      <c r="D23" s="552"/>
      <c r="E23" s="552"/>
      <c r="F23" s="593"/>
      <c r="G23" s="594"/>
      <c r="H23" s="594"/>
      <c r="I23" s="1311"/>
      <c r="J23" s="594"/>
    </row>
    <row r="24" spans="1:10" s="595" customFormat="1" ht="15.75">
      <c r="A24" s="600"/>
      <c r="B24" s="601"/>
      <c r="C24" s="602"/>
      <c r="D24" s="602"/>
      <c r="E24" s="602"/>
      <c r="F24" s="603"/>
      <c r="G24" s="600"/>
      <c r="H24" s="600"/>
      <c r="I24" s="600"/>
      <c r="J24" s="600"/>
    </row>
    <row r="25" s="595" customFormat="1" ht="15.75"/>
    <row r="26" s="595" customFormat="1" ht="15.75"/>
    <row r="27" s="595" customFormat="1" ht="15.75"/>
    <row r="28" s="595" customFormat="1" ht="15.75"/>
    <row r="29" spans="1:12" s="595" customFormat="1" ht="15.75">
      <c r="A29" s="551" t="s">
        <v>391</v>
      </c>
      <c r="B29" s="552"/>
      <c r="C29" s="552"/>
      <c r="D29" s="552"/>
      <c r="E29" s="552"/>
      <c r="F29" s="552"/>
      <c r="G29" s="552"/>
      <c r="H29" s="551"/>
      <c r="I29" s="551" t="s">
        <v>252</v>
      </c>
      <c r="J29" s="551"/>
      <c r="K29" s="551"/>
      <c r="L29" s="551"/>
    </row>
    <row r="30" spans="1:13" s="606" customFormat="1" ht="15">
      <c r="A30" s="571"/>
      <c r="B30" s="605"/>
      <c r="C30" s="605"/>
      <c r="D30" s="605"/>
      <c r="E30" s="605"/>
      <c r="F30" s="605"/>
      <c r="G30" s="605"/>
      <c r="H30" s="571"/>
      <c r="I30" s="571"/>
      <c r="J30" s="571"/>
      <c r="K30" s="571"/>
      <c r="L30" s="571"/>
      <c r="M30" s="607"/>
    </row>
    <row r="31" spans="1:12" s="595" customFormat="1" ht="15.75">
      <c r="A31" s="551" t="s">
        <v>152</v>
      </c>
      <c r="B31" s="552"/>
      <c r="C31" s="552"/>
      <c r="D31" s="552"/>
      <c r="E31" s="552"/>
      <c r="F31" s="552"/>
      <c r="G31" s="552"/>
      <c r="H31" s="551"/>
      <c r="I31" s="551" t="s">
        <v>390</v>
      </c>
      <c r="J31" s="551"/>
      <c r="K31" s="551"/>
      <c r="L31" s="551"/>
    </row>
    <row r="32" spans="1:12" s="606" customFormat="1" ht="15">
      <c r="A32" s="571"/>
      <c r="B32" s="605"/>
      <c r="C32" s="605"/>
      <c r="D32" s="605"/>
      <c r="E32" s="605"/>
      <c r="F32" s="605"/>
      <c r="G32" s="605"/>
      <c r="H32" s="571"/>
      <c r="I32" s="571"/>
      <c r="J32" s="571"/>
      <c r="K32" s="571"/>
      <c r="L32" s="571"/>
    </row>
    <row r="33" spans="1:12" s="595" customFormat="1" ht="15.75">
      <c r="A33" s="551" t="s">
        <v>831</v>
      </c>
      <c r="B33" s="552"/>
      <c r="C33" s="552"/>
      <c r="D33" s="552"/>
      <c r="E33" s="552"/>
      <c r="F33" s="552"/>
      <c r="G33" s="552"/>
      <c r="H33" s="551"/>
      <c r="I33" s="551" t="s">
        <v>832</v>
      </c>
      <c r="J33" s="551"/>
      <c r="K33" s="551"/>
      <c r="L33" s="551"/>
    </row>
    <row r="34" spans="1:12" ht="15">
      <c r="A34" s="604"/>
      <c r="B34" s="605"/>
      <c r="C34" s="605"/>
      <c r="D34" s="605"/>
      <c r="E34" s="605"/>
      <c r="F34" s="605"/>
      <c r="G34" s="605"/>
      <c r="H34" s="604"/>
      <c r="I34" s="604"/>
      <c r="J34" s="604"/>
      <c r="K34" s="604"/>
      <c r="L34" s="604"/>
    </row>
    <row r="61" spans="1:10" ht="15.75">
      <c r="A61" s="549"/>
      <c r="B61" s="550"/>
      <c r="C61" s="550"/>
      <c r="D61" s="550"/>
      <c r="E61" s="550"/>
      <c r="F61" s="550"/>
      <c r="G61" s="551"/>
      <c r="H61" s="551" t="s">
        <v>178</v>
      </c>
      <c r="I61" s="552"/>
      <c r="J61" s="552"/>
    </row>
    <row r="62" spans="1:10" ht="15.75">
      <c r="A62" s="549"/>
      <c r="B62" s="550"/>
      <c r="C62" s="550"/>
      <c r="D62" s="550"/>
      <c r="E62" s="550"/>
      <c r="F62" s="550"/>
      <c r="G62" s="551"/>
      <c r="H62" s="551"/>
      <c r="I62" s="552"/>
      <c r="J62" s="554" t="s">
        <v>437</v>
      </c>
    </row>
    <row r="63" spans="1:10" ht="15.75">
      <c r="A63" s="549"/>
      <c r="B63" s="550"/>
      <c r="C63" s="550"/>
      <c r="D63" s="550"/>
      <c r="E63" s="550"/>
      <c r="F63" s="550"/>
      <c r="G63" s="551"/>
      <c r="H63" s="555"/>
      <c r="I63" s="552"/>
      <c r="J63" s="554" t="s">
        <v>345</v>
      </c>
    </row>
    <row r="64" spans="1:10" ht="15.75">
      <c r="A64" s="549"/>
      <c r="B64" s="550"/>
      <c r="C64" s="550"/>
      <c r="D64" s="550"/>
      <c r="E64" s="550"/>
      <c r="F64" s="550"/>
      <c r="G64" s="551"/>
      <c r="H64" s="556">
        <v>6</v>
      </c>
      <c r="I64" s="557" t="s">
        <v>394</v>
      </c>
      <c r="J64" s="557" t="s">
        <v>395</v>
      </c>
    </row>
    <row r="65" spans="1:10" ht="15.75">
      <c r="A65" s="549"/>
      <c r="B65" s="550"/>
      <c r="C65" s="550"/>
      <c r="D65" s="550"/>
      <c r="E65" s="550"/>
      <c r="F65" s="550"/>
      <c r="G65" s="551"/>
      <c r="H65" s="555"/>
      <c r="I65" s="554"/>
      <c r="J65" s="554"/>
    </row>
    <row r="66" spans="1:10" ht="12.75">
      <c r="A66" s="549"/>
      <c r="B66" s="550"/>
      <c r="C66" s="550"/>
      <c r="D66" s="550"/>
      <c r="E66" s="550"/>
      <c r="F66" s="550"/>
      <c r="G66" s="558"/>
      <c r="H66" s="549"/>
      <c r="I66" s="550"/>
      <c r="J66" s="550"/>
    </row>
    <row r="67" spans="1:10" ht="15.75">
      <c r="A67" s="549"/>
      <c r="B67" s="550"/>
      <c r="C67" s="550"/>
      <c r="D67" s="550"/>
      <c r="E67" s="550"/>
      <c r="F67" s="550"/>
      <c r="G67" s="554"/>
      <c r="H67" s="555"/>
      <c r="I67" s="555"/>
      <c r="J67" s="555"/>
    </row>
    <row r="68" spans="1:10" ht="18.75">
      <c r="A68" s="2458" t="s">
        <v>439</v>
      </c>
      <c r="B68" s="2458"/>
      <c r="C68" s="2458"/>
      <c r="D68" s="2458"/>
      <c r="E68" s="2458"/>
      <c r="F68" s="2458"/>
      <c r="G68" s="2458"/>
      <c r="H68" s="2458"/>
      <c r="I68" s="2458"/>
      <c r="J68" s="2458"/>
    </row>
    <row r="69" spans="1:10" ht="18.75">
      <c r="A69" s="2458" t="s">
        <v>440</v>
      </c>
      <c r="B69" s="2458"/>
      <c r="C69" s="2458"/>
      <c r="D69" s="2458"/>
      <c r="E69" s="2458"/>
      <c r="F69" s="2458"/>
      <c r="G69" s="2458"/>
      <c r="H69" s="2458"/>
      <c r="I69" s="2458"/>
      <c r="J69" s="2458"/>
    </row>
    <row r="70" spans="1:10" ht="19.5">
      <c r="A70" s="559"/>
      <c r="B70" s="559"/>
      <c r="C70" s="559"/>
      <c r="D70" s="559"/>
      <c r="E70" s="559"/>
      <c r="F70" s="559"/>
      <c r="G70" s="559"/>
      <c r="H70" s="559"/>
      <c r="I70" s="559"/>
      <c r="J70" s="559"/>
    </row>
    <row r="71" spans="1:10" ht="12.75">
      <c r="A71" s="549"/>
      <c r="B71" s="550"/>
      <c r="C71" s="550"/>
      <c r="D71" s="550"/>
      <c r="E71" s="550"/>
      <c r="F71" s="550"/>
      <c r="G71" s="558"/>
      <c r="H71" s="549"/>
      <c r="I71" s="550"/>
      <c r="J71" s="550"/>
    </row>
    <row r="72" spans="1:10" ht="15.75">
      <c r="A72" s="549"/>
      <c r="B72" s="608" t="s">
        <v>396</v>
      </c>
      <c r="C72" s="560"/>
      <c r="D72" s="561"/>
      <c r="E72" s="550"/>
      <c r="F72" s="550"/>
      <c r="G72" s="558"/>
      <c r="H72" s="549"/>
      <c r="I72" s="550"/>
      <c r="J72" s="550"/>
    </row>
    <row r="73" spans="1:10" ht="15">
      <c r="A73" s="562"/>
      <c r="B73" s="563"/>
      <c r="C73" s="564"/>
      <c r="D73" s="564"/>
      <c r="E73" s="564"/>
      <c r="F73" s="565"/>
      <c r="G73" s="566"/>
      <c r="H73" s="567"/>
      <c r="I73" s="567" t="s">
        <v>442</v>
      </c>
      <c r="J73" s="568" t="s">
        <v>443</v>
      </c>
    </row>
    <row r="74" spans="1:10" ht="15">
      <c r="A74" s="569" t="s">
        <v>444</v>
      </c>
      <c r="B74" s="2455" t="s">
        <v>445</v>
      </c>
      <c r="C74" s="2456"/>
      <c r="D74" s="2456"/>
      <c r="E74" s="2456"/>
      <c r="F74" s="2457"/>
      <c r="G74" s="569" t="s">
        <v>446</v>
      </c>
      <c r="H74" s="569" t="s">
        <v>447</v>
      </c>
      <c r="I74" s="569" t="s">
        <v>448</v>
      </c>
      <c r="J74" s="573" t="s">
        <v>449</v>
      </c>
    </row>
    <row r="75" spans="1:10" ht="15">
      <c r="A75" s="569" t="s">
        <v>450</v>
      </c>
      <c r="B75" s="570"/>
      <c r="C75" s="571"/>
      <c r="D75" s="571"/>
      <c r="E75" s="571"/>
      <c r="F75" s="572"/>
      <c r="G75" s="569" t="s">
        <v>451</v>
      </c>
      <c r="H75" s="574"/>
      <c r="I75" s="569" t="s">
        <v>452</v>
      </c>
      <c r="J75" s="573" t="s">
        <v>453</v>
      </c>
    </row>
    <row r="76" spans="1:10" ht="15">
      <c r="A76" s="575"/>
      <c r="B76" s="576"/>
      <c r="C76" s="577"/>
      <c r="D76" s="577"/>
      <c r="E76" s="577"/>
      <c r="F76" s="578"/>
      <c r="G76" s="579"/>
      <c r="H76" s="580" t="s">
        <v>457</v>
      </c>
      <c r="I76" s="580" t="s">
        <v>457</v>
      </c>
      <c r="J76" s="581" t="s">
        <v>457</v>
      </c>
    </row>
    <row r="77" spans="1:10" ht="19.5">
      <c r="A77" s="1042"/>
      <c r="B77" s="2471" t="s">
        <v>397</v>
      </c>
      <c r="C77" s="2472"/>
      <c r="D77" s="2472"/>
      <c r="E77" s="2472"/>
      <c r="F77" s="2472"/>
      <c r="G77" s="2472"/>
      <c r="H77" s="2472"/>
      <c r="I77" s="2472"/>
      <c r="J77" s="2473"/>
    </row>
    <row r="78" spans="1:10" ht="39" customHeight="1">
      <c r="A78" s="1043">
        <v>1</v>
      </c>
      <c r="B78" s="2469" t="s">
        <v>398</v>
      </c>
      <c r="C78" s="2470"/>
      <c r="D78" s="2470"/>
      <c r="E78" s="2470"/>
      <c r="F78" s="2470"/>
      <c r="G78" s="1044" t="s">
        <v>399</v>
      </c>
      <c r="H78" s="1045">
        <v>38000</v>
      </c>
      <c r="I78" s="1045">
        <v>7000</v>
      </c>
      <c r="J78" s="1045">
        <v>45000</v>
      </c>
    </row>
    <row r="79" spans="1:10" ht="13.5">
      <c r="A79" s="588"/>
      <c r="B79" s="589"/>
      <c r="C79" s="590"/>
      <c r="D79" s="550"/>
      <c r="E79" s="550"/>
      <c r="F79" s="584"/>
      <c r="G79" s="582"/>
      <c r="H79" s="582"/>
      <c r="I79" s="582"/>
      <c r="J79" s="582"/>
    </row>
    <row r="80" spans="1:10" ht="16.5">
      <c r="A80" s="591"/>
      <c r="B80" s="609"/>
      <c r="C80" s="552"/>
      <c r="D80" s="552"/>
      <c r="E80" s="552"/>
      <c r="F80" s="593"/>
      <c r="G80" s="594"/>
      <c r="H80" s="594"/>
      <c r="I80" s="594"/>
      <c r="J80" s="594"/>
    </row>
    <row r="81" spans="1:10" ht="15.75">
      <c r="A81" s="591"/>
      <c r="B81" s="592"/>
      <c r="C81" s="552"/>
      <c r="D81" s="552"/>
      <c r="E81" s="552"/>
      <c r="F81" s="593"/>
      <c r="G81" s="594"/>
      <c r="H81" s="594"/>
      <c r="I81" s="594"/>
      <c r="J81" s="594"/>
    </row>
    <row r="82" spans="1:10" ht="17.25">
      <c r="A82" s="594"/>
      <c r="B82" s="592"/>
      <c r="C82" s="552"/>
      <c r="D82" s="596"/>
      <c r="E82" s="552"/>
      <c r="F82" s="610"/>
      <c r="G82" s="597"/>
      <c r="H82" s="591"/>
      <c r="I82" s="598"/>
      <c r="J82" s="599"/>
    </row>
    <row r="83" spans="1:10" ht="15.75">
      <c r="A83" s="594"/>
      <c r="B83" s="592"/>
      <c r="C83" s="552"/>
      <c r="D83" s="552"/>
      <c r="E83" s="552"/>
      <c r="F83" s="593"/>
      <c r="G83" s="594"/>
      <c r="H83" s="594"/>
      <c r="I83" s="594"/>
      <c r="J83" s="594"/>
    </row>
    <row r="84" spans="1:10" ht="15.75">
      <c r="A84" s="600"/>
      <c r="B84" s="601"/>
      <c r="C84" s="602"/>
      <c r="D84" s="602"/>
      <c r="E84" s="602"/>
      <c r="F84" s="603"/>
      <c r="G84" s="600"/>
      <c r="H84" s="600"/>
      <c r="I84" s="600"/>
      <c r="J84" s="600"/>
    </row>
    <row r="85" spans="1:10" ht="15.75">
      <c r="A85" s="595"/>
      <c r="B85" s="595"/>
      <c r="C85" s="595"/>
      <c r="D85" s="595"/>
      <c r="E85" s="595"/>
      <c r="F85" s="595"/>
      <c r="G85" s="595"/>
      <c r="H85" s="595"/>
      <c r="I85" s="595"/>
      <c r="J85" s="595"/>
    </row>
    <row r="86" spans="1:10" ht="15.75">
      <c r="A86" s="595"/>
      <c r="B86" s="595"/>
      <c r="C86" s="595"/>
      <c r="D86" s="595"/>
      <c r="E86" s="595"/>
      <c r="F86" s="595"/>
      <c r="G86" s="595"/>
      <c r="H86" s="595"/>
      <c r="I86" s="595"/>
      <c r="J86" s="595"/>
    </row>
    <row r="87" spans="1:10" ht="15.75">
      <c r="A87" s="595"/>
      <c r="B87" s="595"/>
      <c r="C87" s="595"/>
      <c r="D87" s="595"/>
      <c r="E87" s="595"/>
      <c r="F87" s="595"/>
      <c r="G87" s="595"/>
      <c r="H87" s="595"/>
      <c r="I87" s="595"/>
      <c r="J87" s="595"/>
    </row>
    <row r="88" spans="1:10" ht="15.75">
      <c r="A88" s="595"/>
      <c r="B88" s="595"/>
      <c r="C88" s="595"/>
      <c r="D88" s="595"/>
      <c r="E88" s="595"/>
      <c r="F88" s="595"/>
      <c r="G88" s="595"/>
      <c r="H88" s="595"/>
      <c r="I88" s="595"/>
      <c r="J88" s="595"/>
    </row>
    <row r="89" spans="1:10" ht="15.75">
      <c r="A89" s="551" t="s">
        <v>391</v>
      </c>
      <c r="B89" s="552"/>
      <c r="C89" s="552"/>
      <c r="D89" s="552"/>
      <c r="E89" s="552"/>
      <c r="F89" s="552"/>
      <c r="G89" s="552"/>
      <c r="H89" s="551"/>
      <c r="I89" s="551" t="s">
        <v>252</v>
      </c>
      <c r="J89" s="551"/>
    </row>
    <row r="90" spans="1:10" ht="15">
      <c r="A90" s="571"/>
      <c r="B90" s="605"/>
      <c r="C90" s="605"/>
      <c r="D90" s="605"/>
      <c r="E90" s="605"/>
      <c r="F90" s="605"/>
      <c r="G90" s="605"/>
      <c r="H90" s="571"/>
      <c r="I90" s="571"/>
      <c r="J90" s="571"/>
    </row>
    <row r="91" spans="1:10" ht="15.75">
      <c r="A91" s="551" t="s">
        <v>152</v>
      </c>
      <c r="B91" s="552"/>
      <c r="C91" s="552"/>
      <c r="D91" s="552"/>
      <c r="E91" s="552"/>
      <c r="F91" s="552"/>
      <c r="G91" s="552"/>
      <c r="H91" s="551"/>
      <c r="I91" s="551" t="s">
        <v>390</v>
      </c>
      <c r="J91" s="551"/>
    </row>
    <row r="92" spans="1:10" ht="15">
      <c r="A92" s="571"/>
      <c r="B92" s="605"/>
      <c r="C92" s="605"/>
      <c r="D92" s="605"/>
      <c r="E92" s="605"/>
      <c r="F92" s="605"/>
      <c r="G92" s="605"/>
      <c r="H92" s="571"/>
      <c r="I92" s="571"/>
      <c r="J92" s="571"/>
    </row>
    <row r="93" spans="1:10" ht="15.75">
      <c r="A93" s="551" t="s">
        <v>831</v>
      </c>
      <c r="B93" s="552"/>
      <c r="C93" s="552"/>
      <c r="D93" s="552"/>
      <c r="E93" s="552"/>
      <c r="F93" s="552"/>
      <c r="G93" s="552"/>
      <c r="H93" s="551"/>
      <c r="I93" s="551" t="s">
        <v>832</v>
      </c>
      <c r="J93" s="551"/>
    </row>
    <row r="94" spans="1:10" ht="15">
      <c r="A94" s="604"/>
      <c r="B94" s="605"/>
      <c r="C94" s="605"/>
      <c r="D94" s="605"/>
      <c r="E94" s="605"/>
      <c r="F94" s="605"/>
      <c r="G94" s="605"/>
      <c r="H94" s="604"/>
      <c r="I94" s="604"/>
      <c r="J94" s="604"/>
    </row>
    <row r="98" spans="1:10" ht="15.75">
      <c r="A98" s="549"/>
      <c r="B98" s="550"/>
      <c r="C98" s="550"/>
      <c r="D98" s="550"/>
      <c r="E98" s="550"/>
      <c r="F98" s="550"/>
      <c r="G98" s="551"/>
      <c r="H98" s="551" t="s">
        <v>178</v>
      </c>
      <c r="I98" s="552"/>
      <c r="J98" s="552"/>
    </row>
    <row r="99" spans="1:10" ht="15.75">
      <c r="A99" s="549"/>
      <c r="B99" s="550"/>
      <c r="C99" s="550"/>
      <c r="D99" s="550"/>
      <c r="E99" s="550"/>
      <c r="F99" s="550"/>
      <c r="G99" s="551"/>
      <c r="H99" s="551"/>
      <c r="I99" s="552"/>
      <c r="J99" s="554" t="s">
        <v>437</v>
      </c>
    </row>
    <row r="100" spans="1:10" ht="15.75">
      <c r="A100" s="549"/>
      <c r="B100" s="550"/>
      <c r="C100" s="550"/>
      <c r="D100" s="550"/>
      <c r="E100" s="550"/>
      <c r="F100" s="550"/>
      <c r="G100" s="551"/>
      <c r="H100" s="555"/>
      <c r="I100" s="552"/>
      <c r="J100" s="554" t="s">
        <v>405</v>
      </c>
    </row>
    <row r="101" spans="1:10" ht="15.75">
      <c r="A101" s="549"/>
      <c r="B101" s="550"/>
      <c r="C101" s="550"/>
      <c r="D101" s="550"/>
      <c r="E101" s="550"/>
      <c r="F101" s="550"/>
      <c r="G101" s="551"/>
      <c r="H101" s="556">
        <v>15</v>
      </c>
      <c r="I101" s="557" t="s">
        <v>826</v>
      </c>
      <c r="J101" s="557" t="s">
        <v>17</v>
      </c>
    </row>
    <row r="102" spans="1:10" ht="15.75">
      <c r="A102" s="549"/>
      <c r="B102" s="550"/>
      <c r="C102" s="550"/>
      <c r="D102" s="550"/>
      <c r="E102" s="550"/>
      <c r="F102" s="550"/>
      <c r="G102" s="551"/>
      <c r="H102" s="555"/>
      <c r="I102" s="554"/>
      <c r="J102" s="554"/>
    </row>
    <row r="103" spans="1:10" ht="12.75">
      <c r="A103" s="549"/>
      <c r="B103" s="550"/>
      <c r="C103" s="550"/>
      <c r="D103" s="550"/>
      <c r="E103" s="550"/>
      <c r="F103" s="550"/>
      <c r="G103" s="558"/>
      <c r="H103" s="549"/>
      <c r="I103" s="550"/>
      <c r="J103" s="550"/>
    </row>
    <row r="104" spans="1:10" ht="15.75">
      <c r="A104" s="549"/>
      <c r="B104" s="550"/>
      <c r="C104" s="550"/>
      <c r="D104" s="550"/>
      <c r="E104" s="550"/>
      <c r="F104" s="550"/>
      <c r="G104" s="554"/>
      <c r="H104" s="555"/>
      <c r="I104" s="555"/>
      <c r="J104" s="555"/>
    </row>
    <row r="105" spans="1:10" ht="18.75">
      <c r="A105" s="2458" t="s">
        <v>439</v>
      </c>
      <c r="B105" s="2458"/>
      <c r="C105" s="2458"/>
      <c r="D105" s="2458"/>
      <c r="E105" s="2458"/>
      <c r="F105" s="2458"/>
      <c r="G105" s="2458"/>
      <c r="H105" s="2458"/>
      <c r="I105" s="2458"/>
      <c r="J105" s="2458"/>
    </row>
    <row r="106" spans="1:10" ht="18.75">
      <c r="A106" s="2458" t="s">
        <v>440</v>
      </c>
      <c r="B106" s="2458"/>
      <c r="C106" s="2458"/>
      <c r="D106" s="2458"/>
      <c r="E106" s="2458"/>
      <c r="F106" s="2458"/>
      <c r="G106" s="2458"/>
      <c r="H106" s="2458"/>
      <c r="I106" s="2458"/>
      <c r="J106" s="2458"/>
    </row>
    <row r="107" spans="1:10" ht="19.5">
      <c r="A107" s="559"/>
      <c r="B107" s="559"/>
      <c r="C107" s="559"/>
      <c r="D107" s="559"/>
      <c r="E107" s="559"/>
      <c r="F107" s="559"/>
      <c r="G107" s="559"/>
      <c r="H107" s="559"/>
      <c r="I107" s="559"/>
      <c r="J107" s="559"/>
    </row>
    <row r="108" spans="1:10" ht="12.75">
      <c r="A108" s="549"/>
      <c r="B108" s="550"/>
      <c r="C108" s="550"/>
      <c r="D108" s="550"/>
      <c r="E108" s="550"/>
      <c r="F108" s="550"/>
      <c r="G108" s="558"/>
      <c r="H108" s="549"/>
      <c r="I108" s="550"/>
      <c r="J108" s="550"/>
    </row>
    <row r="109" spans="1:10" ht="15.75">
      <c r="A109" s="549"/>
      <c r="B109" s="608" t="s">
        <v>827</v>
      </c>
      <c r="C109" s="560"/>
      <c r="D109" s="561"/>
      <c r="E109" s="550"/>
      <c r="F109" s="550"/>
      <c r="G109" s="558"/>
      <c r="H109" s="549"/>
      <c r="I109" s="550"/>
      <c r="J109" s="550"/>
    </row>
    <row r="110" spans="1:10" ht="15">
      <c r="A110" s="562"/>
      <c r="B110" s="563"/>
      <c r="C110" s="564"/>
      <c r="D110" s="564"/>
      <c r="E110" s="564"/>
      <c r="F110" s="565"/>
      <c r="G110" s="566"/>
      <c r="H110" s="567"/>
      <c r="I110" s="567" t="s">
        <v>442</v>
      </c>
      <c r="J110" s="568" t="s">
        <v>443</v>
      </c>
    </row>
    <row r="111" spans="1:10" ht="15">
      <c r="A111" s="569" t="s">
        <v>444</v>
      </c>
      <c r="B111" s="2455" t="s">
        <v>445</v>
      </c>
      <c r="C111" s="2456"/>
      <c r="D111" s="2456"/>
      <c r="E111" s="2456"/>
      <c r="F111" s="2457"/>
      <c r="G111" s="569" t="s">
        <v>446</v>
      </c>
      <c r="H111" s="569" t="s">
        <v>447</v>
      </c>
      <c r="I111" s="569" t="s">
        <v>448</v>
      </c>
      <c r="J111" s="573" t="s">
        <v>449</v>
      </c>
    </row>
    <row r="112" spans="1:10" ht="15">
      <c r="A112" s="569" t="s">
        <v>450</v>
      </c>
      <c r="B112" s="570"/>
      <c r="C112" s="571"/>
      <c r="D112" s="571"/>
      <c r="E112" s="571"/>
      <c r="F112" s="572"/>
      <c r="G112" s="569" t="s">
        <v>451</v>
      </c>
      <c r="H112" s="574"/>
      <c r="I112" s="569" t="s">
        <v>452</v>
      </c>
      <c r="J112" s="573" t="s">
        <v>453</v>
      </c>
    </row>
    <row r="113" spans="1:10" ht="15">
      <c r="A113" s="575"/>
      <c r="B113" s="576"/>
      <c r="C113" s="577"/>
      <c r="D113" s="577"/>
      <c r="E113" s="577"/>
      <c r="F113" s="578"/>
      <c r="G113" s="579"/>
      <c r="H113" s="580" t="s">
        <v>457</v>
      </c>
      <c r="I113" s="580" t="s">
        <v>457</v>
      </c>
      <c r="J113" s="581" t="s">
        <v>457</v>
      </c>
    </row>
    <row r="114" spans="1:10" ht="12.75">
      <c r="A114" s="582"/>
      <c r="B114" s="583"/>
      <c r="C114" s="550"/>
      <c r="D114" s="550"/>
      <c r="E114" s="550"/>
      <c r="F114" s="584"/>
      <c r="G114" s="582"/>
      <c r="H114" s="582"/>
      <c r="I114" s="582"/>
      <c r="J114" s="582"/>
    </row>
    <row r="115" spans="1:10" ht="19.5">
      <c r="A115" s="585"/>
      <c r="B115" s="586" t="s">
        <v>775</v>
      </c>
      <c r="C115" s="587"/>
      <c r="D115" s="552"/>
      <c r="E115" s="552"/>
      <c r="F115" s="584"/>
      <c r="G115" s="582"/>
      <c r="H115" s="582"/>
      <c r="I115" s="582"/>
      <c r="J115" s="582"/>
    </row>
    <row r="116" spans="1:10" ht="13.5">
      <c r="A116" s="588"/>
      <c r="B116" s="589"/>
      <c r="C116" s="590"/>
      <c r="D116" s="550"/>
      <c r="E116" s="550"/>
      <c r="F116" s="584"/>
      <c r="G116" s="582"/>
      <c r="H116" s="582"/>
      <c r="I116" s="582"/>
      <c r="J116" s="582"/>
    </row>
    <row r="117" spans="1:10" ht="16.5">
      <c r="A117" s="591"/>
      <c r="B117" s="609" t="s">
        <v>776</v>
      </c>
      <c r="C117" s="552"/>
      <c r="D117" s="552"/>
      <c r="E117" s="552"/>
      <c r="F117" s="593"/>
      <c r="G117" s="594"/>
      <c r="H117" s="594"/>
      <c r="I117" s="594"/>
      <c r="J117" s="594"/>
    </row>
    <row r="118" spans="1:10" ht="15.75">
      <c r="A118" s="591"/>
      <c r="B118" s="592"/>
      <c r="C118" s="552"/>
      <c r="D118" s="552"/>
      <c r="E118" s="552"/>
      <c r="F118" s="593"/>
      <c r="G118" s="594"/>
      <c r="H118" s="594"/>
      <c r="I118" s="594"/>
      <c r="J118" s="594"/>
    </row>
    <row r="119" spans="1:10" ht="17.25">
      <c r="A119" s="594"/>
      <c r="B119" s="592"/>
      <c r="C119" s="552"/>
      <c r="D119" s="596" t="s">
        <v>319</v>
      </c>
      <c r="E119" s="552"/>
      <c r="F119" s="610" t="s">
        <v>825</v>
      </c>
      <c r="G119" s="597" t="s">
        <v>460</v>
      </c>
      <c r="H119" s="1283">
        <v>18800</v>
      </c>
      <c r="I119" s="1283">
        <f>'[1]Иммун.'!$H$133</f>
        <v>70.56</v>
      </c>
      <c r="J119" s="1284">
        <f>SUM(H119:I119)</f>
        <v>18870.56</v>
      </c>
    </row>
    <row r="120" spans="1:10" ht="15.75">
      <c r="A120" s="594"/>
      <c r="B120" s="592"/>
      <c r="C120" s="552"/>
      <c r="D120" s="552"/>
      <c r="E120" s="552"/>
      <c r="F120" s="593"/>
      <c r="G120" s="594"/>
      <c r="H120" s="594"/>
      <c r="I120" s="594"/>
      <c r="J120" s="594"/>
    </row>
    <row r="121" spans="1:10" ht="15.75">
      <c r="A121" s="600"/>
      <c r="B121" s="601"/>
      <c r="C121" s="602"/>
      <c r="D121" s="602"/>
      <c r="E121" s="602"/>
      <c r="F121" s="603"/>
      <c r="G121" s="600"/>
      <c r="H121" s="600"/>
      <c r="I121" s="600"/>
      <c r="J121" s="600"/>
    </row>
    <row r="122" spans="1:10" ht="15.75">
      <c r="A122" s="595"/>
      <c r="B122" s="595"/>
      <c r="C122" s="595"/>
      <c r="D122" s="595"/>
      <c r="E122" s="595"/>
      <c r="F122" s="595"/>
      <c r="G122" s="595"/>
      <c r="H122" s="595"/>
      <c r="I122" s="595"/>
      <c r="J122" s="595"/>
    </row>
    <row r="123" spans="1:10" ht="15.75">
      <c r="A123" s="595"/>
      <c r="B123" s="595"/>
      <c r="C123" s="595"/>
      <c r="D123" s="595"/>
      <c r="E123" s="595"/>
      <c r="F123" s="595"/>
      <c r="G123" s="595"/>
      <c r="H123" s="595"/>
      <c r="I123" s="595"/>
      <c r="J123" s="595"/>
    </row>
    <row r="124" spans="1:10" ht="15.75">
      <c r="A124" s="595"/>
      <c r="B124" s="595"/>
      <c r="C124" s="595"/>
      <c r="D124" s="595"/>
      <c r="E124" s="595"/>
      <c r="F124" s="595"/>
      <c r="G124" s="595"/>
      <c r="H124" s="595"/>
      <c r="I124" s="595"/>
      <c r="J124" s="595"/>
    </row>
    <row r="125" spans="1:10" ht="15.75">
      <c r="A125" s="595"/>
      <c r="B125" s="595"/>
      <c r="C125" s="595"/>
      <c r="D125" s="595"/>
      <c r="E125" s="595"/>
      <c r="F125" s="595"/>
      <c r="G125" s="595"/>
      <c r="H125" s="595"/>
      <c r="I125" s="595"/>
      <c r="J125" s="595"/>
    </row>
    <row r="126" spans="1:10" ht="15.75">
      <c r="A126" s="551" t="s">
        <v>391</v>
      </c>
      <c r="B126" s="552"/>
      <c r="C126" s="552"/>
      <c r="D126" s="552"/>
      <c r="E126" s="552"/>
      <c r="F126" s="552"/>
      <c r="G126" s="552"/>
      <c r="H126" s="551"/>
      <c r="I126" s="551" t="s">
        <v>252</v>
      </c>
      <c r="J126" s="551"/>
    </row>
    <row r="127" spans="1:10" ht="15">
      <c r="A127" s="571"/>
      <c r="B127" s="605"/>
      <c r="C127" s="605"/>
      <c r="D127" s="605"/>
      <c r="E127" s="605"/>
      <c r="F127" s="605"/>
      <c r="G127" s="605"/>
      <c r="H127" s="571"/>
      <c r="I127" s="571"/>
      <c r="J127" s="571"/>
    </row>
    <row r="128" spans="1:10" ht="15.75">
      <c r="A128" s="551" t="s">
        <v>152</v>
      </c>
      <c r="B128" s="552"/>
      <c r="C128" s="552"/>
      <c r="D128" s="552"/>
      <c r="E128" s="552"/>
      <c r="F128" s="552"/>
      <c r="G128" s="552"/>
      <c r="H128" s="551"/>
      <c r="I128" s="551" t="s">
        <v>828</v>
      </c>
      <c r="J128" s="551"/>
    </row>
    <row r="129" spans="1:10" ht="15">
      <c r="A129" s="571"/>
      <c r="B129" s="605"/>
      <c r="C129" s="605"/>
      <c r="D129" s="605"/>
      <c r="E129" s="605"/>
      <c r="F129" s="605"/>
      <c r="G129" s="605"/>
      <c r="H129" s="571"/>
      <c r="I129" s="571"/>
      <c r="J129" s="571"/>
    </row>
    <row r="130" spans="1:10" ht="15.75">
      <c r="A130" s="551" t="s">
        <v>831</v>
      </c>
      <c r="B130" s="552"/>
      <c r="C130" s="552"/>
      <c r="D130" s="552"/>
      <c r="E130" s="552"/>
      <c r="F130" s="552"/>
      <c r="G130" s="552"/>
      <c r="H130" s="551"/>
      <c r="I130" s="551" t="s">
        <v>832</v>
      </c>
      <c r="J130" s="551"/>
    </row>
    <row r="131" spans="1:10" ht="15">
      <c r="A131" s="604"/>
      <c r="B131" s="605"/>
      <c r="C131" s="605"/>
      <c r="D131" s="605"/>
      <c r="E131" s="605"/>
      <c r="F131" s="605"/>
      <c r="G131" s="605"/>
      <c r="H131" s="604"/>
      <c r="I131" s="604"/>
      <c r="J131" s="604"/>
    </row>
  </sheetData>
  <sheetProtection/>
  <mergeCells count="11">
    <mergeCell ref="A8:J8"/>
    <mergeCell ref="A9:J9"/>
    <mergeCell ref="B14:F14"/>
    <mergeCell ref="A68:J68"/>
    <mergeCell ref="A105:J105"/>
    <mergeCell ref="A106:J106"/>
    <mergeCell ref="B111:F111"/>
    <mergeCell ref="B78:F78"/>
    <mergeCell ref="B77:J77"/>
    <mergeCell ref="A69:J69"/>
    <mergeCell ref="B74:F7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97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view="pageBreakPreview" zoomScale="60" zoomScalePageLayoutView="0" workbookViewId="0" topLeftCell="A25">
      <selection activeCell="AH23" sqref="AH23"/>
    </sheetView>
  </sheetViews>
  <sheetFormatPr defaultColWidth="9.140625" defaultRowHeight="12.75"/>
  <cols>
    <col min="1" max="1" width="4.421875" style="0" customWidth="1"/>
    <col min="2" max="2" width="3.00390625" style="0" customWidth="1"/>
    <col min="3" max="8" width="8.7109375" style="0" customWidth="1"/>
    <col min="9" max="9" width="8.28125" style="0" customWidth="1"/>
    <col min="10" max="11" width="15.8515625" style="0" hidden="1" customWidth="1"/>
    <col min="12" max="12" width="9.7109375" style="0" hidden="1" customWidth="1"/>
    <col min="13" max="13" width="8.8515625" style="0" customWidth="1"/>
    <col min="14" max="14" width="9.7109375" style="0" customWidth="1"/>
    <col min="15" max="15" width="9.28125" style="0" bestFit="1" customWidth="1"/>
    <col min="17" max="22" width="9.140625" style="2583" customWidth="1"/>
    <col min="23" max="23" width="13.421875" style="2583" bestFit="1" customWidth="1"/>
    <col min="24" max="24" width="9.28125" style="2583" bestFit="1" customWidth="1"/>
    <col min="25" max="26" width="9.140625" style="2583" customWidth="1"/>
  </cols>
  <sheetData>
    <row r="1" spans="12:15" ht="12.75">
      <c r="L1" s="1773"/>
      <c r="M1" s="1773" t="s">
        <v>178</v>
      </c>
      <c r="N1" s="1773"/>
      <c r="O1" s="1773"/>
    </row>
    <row r="2" spans="1:24" ht="15">
      <c r="A2" s="1"/>
      <c r="B2" s="2"/>
      <c r="C2" s="2"/>
      <c r="D2" s="2"/>
      <c r="E2" s="2"/>
      <c r="F2" s="2"/>
      <c r="G2" s="2"/>
      <c r="H2" s="2"/>
      <c r="I2" s="4"/>
      <c r="J2" s="957"/>
      <c r="K2" s="3"/>
      <c r="L2" s="1774"/>
      <c r="M2" s="1775"/>
      <c r="N2" s="1776"/>
      <c r="O2" s="1774" t="s">
        <v>437</v>
      </c>
      <c r="P2" s="5"/>
      <c r="W2" s="2589"/>
      <c r="X2" s="2584"/>
    </row>
    <row r="3" spans="1:24" ht="15">
      <c r="A3" s="1"/>
      <c r="B3" s="2"/>
      <c r="C3" s="2"/>
      <c r="D3" s="2"/>
      <c r="E3" s="2"/>
      <c r="F3" s="2"/>
      <c r="G3" s="2"/>
      <c r="H3" s="2"/>
      <c r="I3" s="4"/>
      <c r="J3" s="4"/>
      <c r="K3" s="3"/>
      <c r="L3" s="1774"/>
      <c r="M3" s="1777"/>
      <c r="N3" s="1776"/>
      <c r="O3" s="1774" t="s">
        <v>405</v>
      </c>
      <c r="P3" s="5"/>
      <c r="W3" s="2589"/>
      <c r="X3" s="2585"/>
    </row>
    <row r="4" spans="1:24" ht="15">
      <c r="A4" s="1"/>
      <c r="B4" s="2"/>
      <c r="C4" s="2"/>
      <c r="D4" s="2"/>
      <c r="E4" s="2"/>
      <c r="F4" s="2"/>
      <c r="G4" s="2"/>
      <c r="H4" s="2"/>
      <c r="I4" s="4"/>
      <c r="J4" s="1393"/>
      <c r="K4" s="4"/>
      <c r="L4" s="1774"/>
      <c r="M4" s="1778">
        <f>'прейск-т'!M7</f>
        <v>1</v>
      </c>
      <c r="N4" s="1779" t="str">
        <f>'прейск-т'!N7</f>
        <v>июля</v>
      </c>
      <c r="O4" s="1780" t="str">
        <f>'прейск-т'!O7</f>
        <v>2017 г.</v>
      </c>
      <c r="P4" s="5"/>
      <c r="W4" s="2589"/>
      <c r="X4" s="2590">
        <v>29</v>
      </c>
    </row>
    <row r="5" spans="1:24" ht="18" customHeight="1">
      <c r="A5" s="1"/>
      <c r="B5" s="2"/>
      <c r="C5" s="2"/>
      <c r="D5" s="2"/>
      <c r="E5" s="2"/>
      <c r="F5" s="2"/>
      <c r="G5" s="2"/>
      <c r="H5" s="2"/>
      <c r="I5" s="539"/>
      <c r="J5" s="614"/>
      <c r="K5" s="6"/>
      <c r="L5" s="1781"/>
      <c r="M5" s="1782"/>
      <c r="N5" s="1781"/>
      <c r="O5" s="1781"/>
      <c r="P5" s="5"/>
      <c r="W5" s="2589"/>
      <c r="X5" s="2586"/>
    </row>
    <row r="6" spans="1:23" ht="25.5" customHeight="1" hidden="1">
      <c r="A6" s="2221" t="s">
        <v>438</v>
      </c>
      <c r="B6" s="2221"/>
      <c r="C6" s="2221"/>
      <c r="D6" s="2221"/>
      <c r="E6" s="2221"/>
      <c r="F6" s="2221"/>
      <c r="G6" s="2221"/>
      <c r="H6" s="2221"/>
      <c r="I6" s="2221"/>
      <c r="J6" s="2221"/>
      <c r="K6" s="2221"/>
      <c r="L6" s="2221"/>
      <c r="M6" s="5"/>
      <c r="N6" s="5"/>
      <c r="O6" s="5"/>
      <c r="P6" s="5"/>
      <c r="W6" s="2589"/>
    </row>
    <row r="7" spans="1:23" ht="18" customHeight="1">
      <c r="A7" s="2223" t="s">
        <v>439</v>
      </c>
      <c r="B7" s="2223"/>
      <c r="C7" s="2223"/>
      <c r="D7" s="2223"/>
      <c r="E7" s="2223"/>
      <c r="F7" s="2223"/>
      <c r="G7" s="2223"/>
      <c r="H7" s="2223"/>
      <c r="I7" s="2223"/>
      <c r="J7" s="2223"/>
      <c r="K7" s="2223"/>
      <c r="L7" s="2223"/>
      <c r="M7" s="2223"/>
      <c r="N7" s="2223"/>
      <c r="O7" s="2223"/>
      <c r="P7" s="5"/>
      <c r="W7" s="2589"/>
    </row>
    <row r="8" spans="1:23" ht="18.75" customHeight="1">
      <c r="A8" s="2223" t="s">
        <v>440</v>
      </c>
      <c r="B8" s="2223"/>
      <c r="C8" s="2223"/>
      <c r="D8" s="2223"/>
      <c r="E8" s="2223"/>
      <c r="F8" s="2223"/>
      <c r="G8" s="2223"/>
      <c r="H8" s="2223"/>
      <c r="I8" s="2223"/>
      <c r="J8" s="2223"/>
      <c r="K8" s="2223"/>
      <c r="L8" s="2223"/>
      <c r="M8" s="2223"/>
      <c r="N8" s="2223"/>
      <c r="O8" s="2223"/>
      <c r="P8" s="5"/>
      <c r="W8" s="2589"/>
    </row>
    <row r="9" spans="1:24" ht="13.5" customHeight="1">
      <c r="A9" s="143"/>
      <c r="B9" s="143"/>
      <c r="C9" s="143"/>
      <c r="D9" s="143"/>
      <c r="E9" s="143"/>
      <c r="F9" s="143"/>
      <c r="G9" s="143"/>
      <c r="H9" s="143"/>
      <c r="I9" s="143"/>
      <c r="J9" s="613"/>
      <c r="K9" s="624"/>
      <c r="L9" s="143"/>
      <c r="M9" s="613"/>
      <c r="N9" s="624"/>
      <c r="O9" s="143"/>
      <c r="P9" s="5"/>
      <c r="W9" s="2589"/>
      <c r="X9" s="2587"/>
    </row>
    <row r="10" spans="1:24" ht="15">
      <c r="A10" s="1"/>
      <c r="B10" s="2"/>
      <c r="C10" s="7" t="s">
        <v>441</v>
      </c>
      <c r="D10" s="8" t="str">
        <f>'прейск-т'!D13</f>
        <v>01.07.2017г.</v>
      </c>
      <c r="E10" s="2"/>
      <c r="F10" s="2"/>
      <c r="G10" s="2"/>
      <c r="H10" s="2"/>
      <c r="I10" s="539"/>
      <c r="J10" s="614"/>
      <c r="K10" s="6"/>
      <c r="L10" s="5"/>
      <c r="M10" s="614"/>
      <c r="N10" s="6"/>
      <c r="O10" s="5"/>
      <c r="P10" s="5"/>
      <c r="W10" s="2589"/>
      <c r="X10" s="2586"/>
    </row>
    <row r="11" spans="1:24" ht="15" hidden="1">
      <c r="A11" s="1384"/>
      <c r="B11" s="542"/>
      <c r="C11" s="1378"/>
      <c r="D11" s="1379"/>
      <c r="E11" s="543"/>
      <c r="F11" s="543"/>
      <c r="G11" s="543"/>
      <c r="H11" s="1380"/>
      <c r="I11" s="541"/>
      <c r="J11" s="2196" t="s">
        <v>485</v>
      </c>
      <c r="K11" s="2196"/>
      <c r="L11" s="2196"/>
      <c r="M11" s="2190" t="s">
        <v>498</v>
      </c>
      <c r="N11" s="2190"/>
      <c r="O11" s="2190"/>
      <c r="P11" s="5"/>
      <c r="W11" s="2589"/>
      <c r="X11" s="2586"/>
    </row>
    <row r="12" spans="1:24" ht="15" hidden="1">
      <c r="A12" s="42"/>
      <c r="B12" s="43"/>
      <c r="C12" s="7"/>
      <c r="D12" s="8"/>
      <c r="E12" s="2"/>
      <c r="F12" s="2"/>
      <c r="G12" s="2"/>
      <c r="H12" s="1381"/>
      <c r="I12" s="94"/>
      <c r="J12" s="2222"/>
      <c r="K12" s="2222"/>
      <c r="L12" s="2222"/>
      <c r="M12" s="2202"/>
      <c r="N12" s="2202"/>
      <c r="O12" s="2202"/>
      <c r="P12" s="5"/>
      <c r="W12" s="2589"/>
      <c r="X12" s="2586"/>
    </row>
    <row r="13" spans="1:26" s="9" customFormat="1" ht="12.75">
      <c r="A13" s="541"/>
      <c r="B13" s="542"/>
      <c r="C13" s="543"/>
      <c r="D13" s="543"/>
      <c r="E13" s="543"/>
      <c r="F13" s="543"/>
      <c r="G13" s="543"/>
      <c r="H13" s="1380"/>
      <c r="I13" s="541"/>
      <c r="J13" s="615"/>
      <c r="K13" s="1898" t="s">
        <v>442</v>
      </c>
      <c r="L13" s="1899" t="s">
        <v>443</v>
      </c>
      <c r="M13" s="615"/>
      <c r="N13" s="1898" t="s">
        <v>442</v>
      </c>
      <c r="O13" s="1899" t="s">
        <v>443</v>
      </c>
      <c r="Q13" s="2591"/>
      <c r="R13" s="2591"/>
      <c r="S13" s="2591"/>
      <c r="T13" s="2591"/>
      <c r="U13" s="2591"/>
      <c r="V13" s="2591"/>
      <c r="W13" s="2592"/>
      <c r="X13" s="2593"/>
      <c r="Y13" s="2591"/>
      <c r="Z13" s="2591"/>
    </row>
    <row r="14" spans="1:26" s="9" customFormat="1" ht="12.75">
      <c r="A14" s="540" t="s">
        <v>444</v>
      </c>
      <c r="B14" s="43"/>
      <c r="C14" s="2"/>
      <c r="D14" s="2"/>
      <c r="E14" s="539" t="s">
        <v>445</v>
      </c>
      <c r="F14" s="2"/>
      <c r="G14" s="2"/>
      <c r="H14" s="1381"/>
      <c r="I14" s="94" t="s">
        <v>446</v>
      </c>
      <c r="J14" s="616" t="s">
        <v>447</v>
      </c>
      <c r="K14" s="105" t="s">
        <v>448</v>
      </c>
      <c r="L14" s="61" t="s">
        <v>449</v>
      </c>
      <c r="M14" s="616" t="s">
        <v>447</v>
      </c>
      <c r="N14" s="105" t="s">
        <v>448</v>
      </c>
      <c r="O14" s="61" t="s">
        <v>449</v>
      </c>
      <c r="Q14" s="2591"/>
      <c r="R14" s="2591"/>
      <c r="S14" s="2591"/>
      <c r="T14" s="2591"/>
      <c r="U14" s="2591"/>
      <c r="V14" s="2591"/>
      <c r="W14" s="2592"/>
      <c r="X14" s="2593" t="s">
        <v>447</v>
      </c>
      <c r="Y14" s="2591"/>
      <c r="Z14" s="2591"/>
    </row>
    <row r="15" spans="1:26" s="12" customFormat="1" ht="12.75">
      <c r="A15" s="540" t="s">
        <v>450</v>
      </c>
      <c r="B15" s="544"/>
      <c r="C15" s="111"/>
      <c r="D15" s="111"/>
      <c r="E15" s="111"/>
      <c r="F15" s="545"/>
      <c r="G15" s="545"/>
      <c r="H15" s="1382"/>
      <c r="I15" s="540" t="s">
        <v>451</v>
      </c>
      <c r="J15" s="617"/>
      <c r="K15" s="105" t="s">
        <v>452</v>
      </c>
      <c r="L15" s="61" t="s">
        <v>453</v>
      </c>
      <c r="M15" s="617"/>
      <c r="N15" s="105" t="s">
        <v>452</v>
      </c>
      <c r="O15" s="61" t="s">
        <v>453</v>
      </c>
      <c r="Q15" s="2594"/>
      <c r="R15" s="2594"/>
      <c r="S15" s="2594"/>
      <c r="T15" s="2594"/>
      <c r="U15" s="2594"/>
      <c r="V15" s="2594"/>
      <c r="W15" s="2595"/>
      <c r="X15" s="2596"/>
      <c r="Y15" s="2594"/>
      <c r="Z15" s="2594"/>
    </row>
    <row r="16" spans="1:26" s="12" customFormat="1" ht="12.75">
      <c r="A16" s="546"/>
      <c r="B16" s="141"/>
      <c r="C16" s="89"/>
      <c r="D16" s="89"/>
      <c r="E16" s="89"/>
      <c r="F16" s="89"/>
      <c r="G16" s="89"/>
      <c r="H16" s="1383"/>
      <c r="I16" s="546"/>
      <c r="J16" s="618" t="s">
        <v>457</v>
      </c>
      <c r="K16" s="628" t="s">
        <v>457</v>
      </c>
      <c r="L16" s="547" t="s">
        <v>457</v>
      </c>
      <c r="M16" s="618" t="s">
        <v>457</v>
      </c>
      <c r="N16" s="628" t="s">
        <v>457</v>
      </c>
      <c r="O16" s="547" t="s">
        <v>457</v>
      </c>
      <c r="Q16" s="2594"/>
      <c r="R16" s="2594"/>
      <c r="S16" s="2594"/>
      <c r="T16" s="2594"/>
      <c r="U16" s="2594"/>
      <c r="V16" s="2594"/>
      <c r="W16" s="2595"/>
      <c r="X16" s="2597" t="s">
        <v>457</v>
      </c>
      <c r="Y16" s="2594"/>
      <c r="Z16" s="2594"/>
    </row>
    <row r="17" spans="1:26" s="19" customFormat="1" ht="16.5">
      <c r="A17" s="1746"/>
      <c r="B17" s="1747"/>
      <c r="C17" s="1748"/>
      <c r="D17" s="1749"/>
      <c r="E17" s="1749"/>
      <c r="F17" s="1749"/>
      <c r="G17" s="1749"/>
      <c r="H17" s="543"/>
      <c r="I17" s="541"/>
      <c r="J17" s="1750"/>
      <c r="K17" s="1751"/>
      <c r="L17" s="1752"/>
      <c r="M17" s="1750"/>
      <c r="N17" s="1751"/>
      <c r="O17" s="1752"/>
      <c r="P17" s="6"/>
      <c r="Q17" s="2583"/>
      <c r="R17" s="2583"/>
      <c r="S17" s="2583"/>
      <c r="T17" s="2583"/>
      <c r="U17" s="2583"/>
      <c r="V17" s="2583"/>
      <c r="W17" s="2589"/>
      <c r="X17" s="2586"/>
      <c r="Y17" s="2583"/>
      <c r="Z17" s="2583"/>
    </row>
    <row r="18" spans="1:26" s="19" customFormat="1" ht="20.25">
      <c r="A18" s="1760"/>
      <c r="B18" s="1772" t="s">
        <v>721</v>
      </c>
      <c r="C18" s="1761"/>
      <c r="D18" s="1762"/>
      <c r="E18" s="1762"/>
      <c r="F18" s="1762"/>
      <c r="G18" s="1762"/>
      <c r="H18" s="1762"/>
      <c r="I18" s="94"/>
      <c r="J18" s="619"/>
      <c r="K18" s="629"/>
      <c r="L18" s="18"/>
      <c r="M18" s="619"/>
      <c r="N18" s="629"/>
      <c r="O18" s="18"/>
      <c r="P18" s="6"/>
      <c r="Q18" s="2583"/>
      <c r="R18" s="2583"/>
      <c r="S18" s="2583"/>
      <c r="T18" s="2583"/>
      <c r="U18" s="2583"/>
      <c r="V18" s="2583"/>
      <c r="W18" s="2589"/>
      <c r="X18" s="2586"/>
      <c r="Y18" s="2583"/>
      <c r="Z18" s="2583"/>
    </row>
    <row r="19" spans="1:26" s="19" customFormat="1" ht="12.75" customHeight="1">
      <c r="A19" s="1760"/>
      <c r="B19" s="16"/>
      <c r="C19" s="1531"/>
      <c r="D19" s="3"/>
      <c r="E19" s="3"/>
      <c r="F19" s="3"/>
      <c r="G19" s="3"/>
      <c r="H19" s="2"/>
      <c r="I19" s="94"/>
      <c r="J19" s="619"/>
      <c r="K19" s="629"/>
      <c r="L19" s="18"/>
      <c r="M19" s="619"/>
      <c r="N19" s="629"/>
      <c r="O19" s="18"/>
      <c r="P19" s="6"/>
      <c r="Q19" s="2583"/>
      <c r="R19" s="2583"/>
      <c r="S19" s="2583"/>
      <c r="T19" s="2583"/>
      <c r="U19" s="2583"/>
      <c r="V19" s="2583"/>
      <c r="W19" s="2589"/>
      <c r="X19" s="2586"/>
      <c r="Y19" s="2583"/>
      <c r="Z19" s="2583"/>
    </row>
    <row r="20" spans="1:26" s="19" customFormat="1" ht="31.5" customHeight="1">
      <c r="A20" s="1760"/>
      <c r="B20" s="16"/>
      <c r="C20" s="2474" t="s">
        <v>722</v>
      </c>
      <c r="D20" s="2474"/>
      <c r="E20" s="2474"/>
      <c r="F20" s="2474"/>
      <c r="G20" s="2474"/>
      <c r="H20" s="2474"/>
      <c r="I20" s="94"/>
      <c r="J20" s="619"/>
      <c r="K20" s="629"/>
      <c r="L20" s="18"/>
      <c r="M20" s="619"/>
      <c r="N20" s="629"/>
      <c r="O20" s="18"/>
      <c r="P20" s="6"/>
      <c r="Q20" s="2583"/>
      <c r="R20" s="2583"/>
      <c r="S20" s="2583"/>
      <c r="T20" s="2583"/>
      <c r="U20" s="2583"/>
      <c r="V20" s="2583"/>
      <c r="W20" s="2589"/>
      <c r="X20" s="2586"/>
      <c r="Y20" s="2583"/>
      <c r="Z20" s="2583"/>
    </row>
    <row r="21" spans="1:26" s="19" customFormat="1" ht="27.75" customHeight="1">
      <c r="A21" s="1744">
        <v>1</v>
      </c>
      <c r="B21" s="16"/>
      <c r="C21" s="1757" t="s">
        <v>712</v>
      </c>
      <c r="D21" s="1758"/>
      <c r="E21" s="1758"/>
      <c r="F21" s="1758"/>
      <c r="G21" s="1758"/>
      <c r="H21" s="1758"/>
      <c r="I21" s="1534" t="s">
        <v>460</v>
      </c>
      <c r="J21" s="1400">
        <v>10300</v>
      </c>
      <c r="K21" s="1535">
        <f>'[1]манипуляции'!$G$14</f>
        <v>1.1239999999999999</v>
      </c>
      <c r="L21" s="1346">
        <f>SUM(J21:K21)</f>
        <v>10301.124</v>
      </c>
      <c r="M21" s="1477">
        <f>J21/10000</f>
        <v>1.03</v>
      </c>
      <c r="N21" s="1478">
        <f>K21</f>
        <v>1.1239999999999999</v>
      </c>
      <c r="O21" s="1452">
        <f>SUM(M21:N21)</f>
        <v>2.154</v>
      </c>
      <c r="P21" s="6"/>
      <c r="Q21" s="2583"/>
      <c r="R21" s="2583"/>
      <c r="S21" s="2583"/>
      <c r="T21" s="2583"/>
      <c r="U21" s="2583"/>
      <c r="V21" s="2583"/>
      <c r="W21" s="2589">
        <f>X21*1.2</f>
        <v>29640</v>
      </c>
      <c r="X21" s="2598">
        <v>24700</v>
      </c>
      <c r="Y21" s="2583"/>
      <c r="Z21" s="2583"/>
    </row>
    <row r="22" spans="1:26" s="19" customFormat="1" ht="18" customHeight="1">
      <c r="A22" s="1744">
        <v>2</v>
      </c>
      <c r="B22" s="16"/>
      <c r="C22" s="1759" t="s">
        <v>713</v>
      </c>
      <c r="D22" s="1758"/>
      <c r="E22" s="1758"/>
      <c r="F22" s="1758"/>
      <c r="G22" s="1758"/>
      <c r="H22" s="1758"/>
      <c r="I22" s="1745"/>
      <c r="J22" s="1400"/>
      <c r="K22" s="1535"/>
      <c r="L22" s="1346"/>
      <c r="M22" s="1477"/>
      <c r="N22" s="1478"/>
      <c r="O22" s="1452"/>
      <c r="P22" s="6"/>
      <c r="Q22" s="2583"/>
      <c r="R22" s="2583"/>
      <c r="S22" s="2583"/>
      <c r="T22" s="2583"/>
      <c r="U22" s="2583"/>
      <c r="V22" s="2583"/>
      <c r="W22" s="2589">
        <f aca="true" t="shared" si="0" ref="W22:W29">X22*1.2</f>
        <v>16200</v>
      </c>
      <c r="X22" s="2598">
        <v>13500</v>
      </c>
      <c r="Y22" s="2583"/>
      <c r="Z22" s="2583"/>
    </row>
    <row r="23" spans="1:26" s="19" customFormat="1" ht="39.75" customHeight="1">
      <c r="A23" s="1744" t="s">
        <v>462</v>
      </c>
      <c r="B23" s="16"/>
      <c r="C23" s="2475" t="s">
        <v>714</v>
      </c>
      <c r="D23" s="2475"/>
      <c r="E23" s="2475"/>
      <c r="F23" s="2475"/>
      <c r="G23" s="2475"/>
      <c r="H23" s="2475"/>
      <c r="I23" s="1534" t="s">
        <v>460</v>
      </c>
      <c r="J23" s="1400">
        <v>36400</v>
      </c>
      <c r="K23" s="1535">
        <f>'[1]манипуляции'!$G$29</f>
        <v>2.74096</v>
      </c>
      <c r="L23" s="1346">
        <f aca="true" t="shared" si="1" ref="L23:L29">SUM(J23:K23)</f>
        <v>36402.74096</v>
      </c>
      <c r="M23" s="1477">
        <f aca="true" t="shared" si="2" ref="M23:M29">J23/10000</f>
        <v>3.64</v>
      </c>
      <c r="N23" s="1478">
        <f aca="true" t="shared" si="3" ref="N23:N29">K23</f>
        <v>2.74096</v>
      </c>
      <c r="O23" s="1452">
        <f aca="true" t="shared" si="4" ref="O23:O29">SUM(M23:N23)</f>
        <v>6.38096</v>
      </c>
      <c r="P23" s="6"/>
      <c r="Q23" s="2583"/>
      <c r="R23" s="2583"/>
      <c r="S23" s="2583"/>
      <c r="T23" s="2583"/>
      <c r="U23" s="2583"/>
      <c r="V23" s="2583"/>
      <c r="W23" s="2589">
        <f t="shared" si="0"/>
        <v>0</v>
      </c>
      <c r="X23" s="2598"/>
      <c r="Y23" s="2583"/>
      <c r="Z23" s="2583"/>
    </row>
    <row r="24" spans="1:26" s="19" customFormat="1" ht="39.75" customHeight="1">
      <c r="A24" s="1744" t="s">
        <v>464</v>
      </c>
      <c r="B24" s="16"/>
      <c r="C24" s="2475" t="s">
        <v>715</v>
      </c>
      <c r="D24" s="2475"/>
      <c r="E24" s="2475"/>
      <c r="F24" s="2475"/>
      <c r="G24" s="2475"/>
      <c r="H24" s="2475"/>
      <c r="I24" s="1534" t="s">
        <v>460</v>
      </c>
      <c r="J24" s="1400">
        <v>57100</v>
      </c>
      <c r="K24" s="1535">
        <f>'[1]манипуляции'!$G$43</f>
        <v>3.9409599999999996</v>
      </c>
      <c r="L24" s="1346">
        <f t="shared" si="1"/>
        <v>57103.94096</v>
      </c>
      <c r="M24" s="1477">
        <f t="shared" si="2"/>
        <v>5.71</v>
      </c>
      <c r="N24" s="1478">
        <f t="shared" si="3"/>
        <v>3.9409599999999996</v>
      </c>
      <c r="O24" s="1452">
        <f t="shared" si="4"/>
        <v>9.65096</v>
      </c>
      <c r="P24" s="6"/>
      <c r="Q24" s="2583"/>
      <c r="R24" s="2583"/>
      <c r="S24" s="2583"/>
      <c r="T24" s="2583"/>
      <c r="U24" s="2583"/>
      <c r="V24" s="2583"/>
      <c r="W24" s="2589">
        <f t="shared" si="0"/>
        <v>16200</v>
      </c>
      <c r="X24" s="2598">
        <v>13500</v>
      </c>
      <c r="Y24" s="2583"/>
      <c r="Z24" s="2583"/>
    </row>
    <row r="25" spans="1:26" s="19" customFormat="1" ht="39.75" customHeight="1">
      <c r="A25" s="1744" t="s">
        <v>711</v>
      </c>
      <c r="B25" s="16"/>
      <c r="C25" s="2475" t="s">
        <v>716</v>
      </c>
      <c r="D25" s="2475"/>
      <c r="E25" s="2475"/>
      <c r="F25" s="2475"/>
      <c r="G25" s="2475"/>
      <c r="H25" s="2475"/>
      <c r="I25" s="1534" t="s">
        <v>460</v>
      </c>
      <c r="J25" s="1400">
        <v>98500</v>
      </c>
      <c r="K25" s="1535">
        <f>'[1]манипуляции'!$G$57</f>
        <v>6.34096</v>
      </c>
      <c r="L25" s="1892">
        <f t="shared" si="1"/>
        <v>98506.34096</v>
      </c>
      <c r="M25" s="1477">
        <f t="shared" si="2"/>
        <v>9.85</v>
      </c>
      <c r="N25" s="1478">
        <f t="shared" si="3"/>
        <v>6.34096</v>
      </c>
      <c r="O25" s="1452">
        <f t="shared" si="4"/>
        <v>16.19096</v>
      </c>
      <c r="P25" s="6"/>
      <c r="Q25" s="2583"/>
      <c r="R25" s="2583"/>
      <c r="S25" s="2583"/>
      <c r="T25" s="2583"/>
      <c r="U25" s="2583"/>
      <c r="V25" s="2583"/>
      <c r="W25" s="2589">
        <f t="shared" si="0"/>
        <v>0</v>
      </c>
      <c r="X25" s="2598"/>
      <c r="Y25" s="2583"/>
      <c r="Z25" s="2583"/>
    </row>
    <row r="26" spans="1:26" s="19" customFormat="1" ht="27.75" customHeight="1">
      <c r="A26" s="1744">
        <v>3</v>
      </c>
      <c r="B26" s="16"/>
      <c r="C26" s="1757" t="s">
        <v>717</v>
      </c>
      <c r="D26" s="1758"/>
      <c r="E26" s="1758"/>
      <c r="F26" s="1758"/>
      <c r="G26" s="1758"/>
      <c r="H26" s="1758"/>
      <c r="I26" s="1534" t="s">
        <v>460</v>
      </c>
      <c r="J26" s="1400">
        <v>7200</v>
      </c>
      <c r="K26" s="1535">
        <f>'[1]манипуляции'!$G$66</f>
        <v>1.101</v>
      </c>
      <c r="L26" s="1346">
        <f t="shared" si="1"/>
        <v>7201.101</v>
      </c>
      <c r="M26" s="1477">
        <f t="shared" si="2"/>
        <v>0.72</v>
      </c>
      <c r="N26" s="1478">
        <f t="shared" si="3"/>
        <v>1.101</v>
      </c>
      <c r="O26" s="1452">
        <f t="shared" si="4"/>
        <v>1.821</v>
      </c>
      <c r="P26" s="6"/>
      <c r="Q26" s="2583"/>
      <c r="R26" s="2583"/>
      <c r="S26" s="2583"/>
      <c r="T26" s="2583"/>
      <c r="U26" s="2583"/>
      <c r="V26" s="2583"/>
      <c r="W26" s="2589">
        <f t="shared" si="0"/>
        <v>0</v>
      </c>
      <c r="X26" s="2598"/>
      <c r="Y26" s="2583"/>
      <c r="Z26" s="2583"/>
    </row>
    <row r="27" spans="1:26" s="19" customFormat="1" ht="40.5" customHeight="1">
      <c r="A27" s="1744">
        <v>4</v>
      </c>
      <c r="B27" s="20"/>
      <c r="C27" s="2475" t="s">
        <v>718</v>
      </c>
      <c r="D27" s="2475"/>
      <c r="E27" s="2475"/>
      <c r="F27" s="2475"/>
      <c r="G27" s="2475"/>
      <c r="H27" s="2476"/>
      <c r="I27" s="1534" t="s">
        <v>460</v>
      </c>
      <c r="J27" s="1400">
        <v>15600</v>
      </c>
      <c r="K27" s="1535">
        <f>'[1]манипуляции'!$G$78</f>
        <v>1.34496</v>
      </c>
      <c r="L27" s="1346">
        <f t="shared" si="1"/>
        <v>15601.34496</v>
      </c>
      <c r="M27" s="1477">
        <f t="shared" si="2"/>
        <v>1.56</v>
      </c>
      <c r="N27" s="1478">
        <f t="shared" si="3"/>
        <v>1.34496</v>
      </c>
      <c r="O27" s="1452">
        <f t="shared" si="4"/>
        <v>2.90496</v>
      </c>
      <c r="P27" s="22"/>
      <c r="Q27" s="2583"/>
      <c r="R27" s="2583"/>
      <c r="S27" s="2583"/>
      <c r="T27" s="2583"/>
      <c r="U27" s="2583"/>
      <c r="V27" s="2583"/>
      <c r="W27" s="2589">
        <f t="shared" si="0"/>
        <v>31560</v>
      </c>
      <c r="X27" s="2598">
        <v>26300</v>
      </c>
      <c r="Y27" s="2583"/>
      <c r="Z27" s="2583"/>
    </row>
    <row r="28" spans="1:26" s="19" customFormat="1" ht="27.75" customHeight="1">
      <c r="A28" s="1744">
        <v>5</v>
      </c>
      <c r="B28" s="20"/>
      <c r="C28" s="1757" t="s">
        <v>719</v>
      </c>
      <c r="D28" s="1758"/>
      <c r="E28" s="1758"/>
      <c r="F28" s="1758"/>
      <c r="G28" s="1758"/>
      <c r="H28" s="1758"/>
      <c r="I28" s="1534" t="s">
        <v>460</v>
      </c>
      <c r="J28" s="1400">
        <v>7200</v>
      </c>
      <c r="K28" s="1535">
        <f>'[1]манипуляции'!$G$87</f>
        <v>1.101</v>
      </c>
      <c r="L28" s="1346">
        <f t="shared" si="1"/>
        <v>7201.101</v>
      </c>
      <c r="M28" s="1477">
        <f t="shared" si="2"/>
        <v>0.72</v>
      </c>
      <c r="N28" s="1478">
        <f t="shared" si="3"/>
        <v>1.101</v>
      </c>
      <c r="O28" s="1452">
        <f t="shared" si="4"/>
        <v>1.821</v>
      </c>
      <c r="P28" s="22"/>
      <c r="Q28" s="2583"/>
      <c r="R28" s="2588">
        <f>L28-19350</f>
        <v>-12148.899000000001</v>
      </c>
      <c r="S28" s="2583"/>
      <c r="T28" s="2583"/>
      <c r="U28" s="2583"/>
      <c r="V28" s="2583"/>
      <c r="W28" s="2589">
        <f t="shared" si="0"/>
        <v>23760</v>
      </c>
      <c r="X28" s="2598">
        <v>19800</v>
      </c>
      <c r="Y28" s="2583"/>
      <c r="Z28" s="2583"/>
    </row>
    <row r="29" spans="1:26" s="19" customFormat="1" ht="27.75" customHeight="1">
      <c r="A29" s="1744">
        <v>6</v>
      </c>
      <c r="B29" s="20"/>
      <c r="C29" s="1757" t="s">
        <v>720</v>
      </c>
      <c r="D29" s="1758"/>
      <c r="E29" s="1758"/>
      <c r="F29" s="1758"/>
      <c r="G29" s="1758"/>
      <c r="H29" s="1758"/>
      <c r="I29" s="1534" t="s">
        <v>460</v>
      </c>
      <c r="J29" s="1400">
        <v>7200</v>
      </c>
      <c r="K29" s="1535">
        <f>'[1]манипуляции'!$G$93</f>
        <v>0.247</v>
      </c>
      <c r="L29" s="1346">
        <f t="shared" si="1"/>
        <v>7200.247</v>
      </c>
      <c r="M29" s="1477">
        <f t="shared" si="2"/>
        <v>0.72</v>
      </c>
      <c r="N29" s="1478">
        <f t="shared" si="3"/>
        <v>0.247</v>
      </c>
      <c r="O29" s="1452">
        <f t="shared" si="4"/>
        <v>0.967</v>
      </c>
      <c r="P29" s="22"/>
      <c r="Q29" s="2583"/>
      <c r="R29" s="2583"/>
      <c r="S29" s="2583"/>
      <c r="T29" s="2583"/>
      <c r="U29" s="2583"/>
      <c r="V29" s="2583"/>
      <c r="W29" s="2589">
        <f t="shared" si="0"/>
        <v>23760</v>
      </c>
      <c r="X29" s="2598">
        <v>19800</v>
      </c>
      <c r="Y29" s="2583"/>
      <c r="Z29" s="2583"/>
    </row>
    <row r="30" spans="1:26" s="19" customFormat="1" ht="18.75">
      <c r="A30" s="1753"/>
      <c r="B30" s="1754"/>
      <c r="C30" s="633"/>
      <c r="D30" s="133"/>
      <c r="E30" s="133"/>
      <c r="F30" s="133"/>
      <c r="G30" s="133"/>
      <c r="H30" s="89"/>
      <c r="I30" s="715"/>
      <c r="J30" s="1181"/>
      <c r="K30" s="1755"/>
      <c r="L30" s="1339"/>
      <c r="M30" s="1472"/>
      <c r="N30" s="1756"/>
      <c r="O30" s="1449"/>
      <c r="P30" s="22"/>
      <c r="Q30" s="2583"/>
      <c r="R30" s="2583"/>
      <c r="S30" s="2583"/>
      <c r="T30" s="2583"/>
      <c r="U30" s="2583"/>
      <c r="V30" s="2583"/>
      <c r="W30" s="2589"/>
      <c r="X30" s="2598"/>
      <c r="Y30" s="2583"/>
      <c r="Z30" s="2583"/>
    </row>
    <row r="31" spans="1:15" ht="12.75">
      <c r="A31" s="1716"/>
      <c r="I31" s="1716"/>
      <c r="K31" s="1716"/>
      <c r="M31" s="1716"/>
      <c r="O31" s="1716"/>
    </row>
    <row r="32" spans="1:15" ht="47.25" customHeight="1">
      <c r="A32" s="1717"/>
      <c r="C32" s="2474" t="s">
        <v>200</v>
      </c>
      <c r="D32" s="2474"/>
      <c r="E32" s="2474"/>
      <c r="F32" s="2474"/>
      <c r="G32" s="2474"/>
      <c r="H32" s="2474"/>
      <c r="I32" s="1717"/>
      <c r="K32" s="1717"/>
      <c r="M32" s="1717"/>
      <c r="O32" s="1717"/>
    </row>
    <row r="33" spans="1:26" s="19" customFormat="1" ht="27.75" customHeight="1">
      <c r="A33" s="1745">
        <v>1</v>
      </c>
      <c r="B33" s="1763"/>
      <c r="C33" s="1757" t="s">
        <v>712</v>
      </c>
      <c r="D33" s="1758"/>
      <c r="E33" s="1758"/>
      <c r="F33" s="1758"/>
      <c r="G33" s="1758"/>
      <c r="H33" s="1758"/>
      <c r="I33" s="1534" t="s">
        <v>460</v>
      </c>
      <c r="J33" s="1764">
        <v>27700</v>
      </c>
      <c r="K33" s="1535">
        <f>K21</f>
        <v>1.1239999999999999</v>
      </c>
      <c r="L33" s="1766">
        <f>SUM(J33:K33)</f>
        <v>27701.124</v>
      </c>
      <c r="M33" s="1768">
        <f>J33/10000</f>
        <v>2.77</v>
      </c>
      <c r="N33" s="1770">
        <f>K33</f>
        <v>1.1239999999999999</v>
      </c>
      <c r="O33" s="1452">
        <f>SUM(M33:N33)</f>
        <v>3.894</v>
      </c>
      <c r="P33" s="6"/>
      <c r="Q33" s="2583"/>
      <c r="R33" s="2583"/>
      <c r="S33" s="2583"/>
      <c r="T33" s="2583"/>
      <c r="U33" s="2583"/>
      <c r="V33" s="2583"/>
      <c r="W33" s="2589">
        <f>X33*1.2</f>
        <v>29640</v>
      </c>
      <c r="X33" s="2598">
        <v>24700</v>
      </c>
      <c r="Y33" s="2583"/>
      <c r="Z33" s="2583"/>
    </row>
    <row r="34" spans="1:26" s="19" customFormat="1" ht="18" customHeight="1">
      <c r="A34" s="1745">
        <v>2</v>
      </c>
      <c r="B34" s="1763"/>
      <c r="C34" s="1759" t="s">
        <v>713</v>
      </c>
      <c r="D34" s="1758"/>
      <c r="E34" s="1758"/>
      <c r="F34" s="1758"/>
      <c r="G34" s="1758"/>
      <c r="H34" s="1758"/>
      <c r="I34" s="1745"/>
      <c r="J34" s="1764"/>
      <c r="K34" s="1535"/>
      <c r="L34" s="1766"/>
      <c r="M34" s="1768"/>
      <c r="N34" s="1770"/>
      <c r="O34" s="1452"/>
      <c r="P34" s="6"/>
      <c r="Q34" s="2583"/>
      <c r="R34" s="2583"/>
      <c r="S34" s="2583"/>
      <c r="T34" s="2583"/>
      <c r="U34" s="2583"/>
      <c r="V34" s="2583"/>
      <c r="W34" s="2589">
        <f aca="true" t="shared" si="5" ref="W34:W41">X34*1.2</f>
        <v>16200</v>
      </c>
      <c r="X34" s="2598">
        <v>13500</v>
      </c>
      <c r="Y34" s="2583"/>
      <c r="Z34" s="2583"/>
    </row>
    <row r="35" spans="1:26" s="19" customFormat="1" ht="39.75" customHeight="1">
      <c r="A35" s="1745" t="s">
        <v>462</v>
      </c>
      <c r="B35" s="1763"/>
      <c r="C35" s="2475" t="s">
        <v>714</v>
      </c>
      <c r="D35" s="2475"/>
      <c r="E35" s="2475"/>
      <c r="F35" s="2475"/>
      <c r="G35" s="2475"/>
      <c r="H35" s="2475"/>
      <c r="I35" s="1534" t="s">
        <v>460</v>
      </c>
      <c r="J35" s="1764">
        <v>98000</v>
      </c>
      <c r="K35" s="1535">
        <f aca="true" t="shared" si="6" ref="K35:K41">K23</f>
        <v>2.74096</v>
      </c>
      <c r="L35" s="1892">
        <f aca="true" t="shared" si="7" ref="L35:L41">SUM(J35:K35)</f>
        <v>98002.74096</v>
      </c>
      <c r="M35" s="1477">
        <f aca="true" t="shared" si="8" ref="M35:M41">J35/10000</f>
        <v>9.8</v>
      </c>
      <c r="N35" s="1478">
        <f aca="true" t="shared" si="9" ref="N35:N41">K35</f>
        <v>2.74096</v>
      </c>
      <c r="O35" s="1452">
        <f aca="true" t="shared" si="10" ref="O35:O41">SUM(M35:N35)</f>
        <v>12.54096</v>
      </c>
      <c r="P35" s="6"/>
      <c r="Q35" s="2583"/>
      <c r="R35" s="2583"/>
      <c r="S35" s="2583"/>
      <c r="T35" s="2583"/>
      <c r="U35" s="2583"/>
      <c r="V35" s="2583"/>
      <c r="W35" s="2589">
        <f t="shared" si="5"/>
        <v>0</v>
      </c>
      <c r="X35" s="2598"/>
      <c r="Y35" s="2583"/>
      <c r="Z35" s="2583"/>
    </row>
    <row r="36" spans="1:26" s="19" customFormat="1" ht="39.75" customHeight="1">
      <c r="A36" s="1745" t="s">
        <v>464</v>
      </c>
      <c r="B36" s="1763"/>
      <c r="C36" s="2475" t="s">
        <v>715</v>
      </c>
      <c r="D36" s="2475"/>
      <c r="E36" s="2475"/>
      <c r="F36" s="2475"/>
      <c r="G36" s="2475"/>
      <c r="H36" s="2475"/>
      <c r="I36" s="1534" t="s">
        <v>460</v>
      </c>
      <c r="J36" s="1764">
        <v>153700</v>
      </c>
      <c r="K36" s="1535">
        <f t="shared" si="6"/>
        <v>3.9409599999999996</v>
      </c>
      <c r="L36" s="1892">
        <f t="shared" si="7"/>
        <v>153703.94096</v>
      </c>
      <c r="M36" s="1477">
        <f t="shared" si="8"/>
        <v>15.37</v>
      </c>
      <c r="N36" s="1478">
        <f t="shared" si="9"/>
        <v>3.9409599999999996</v>
      </c>
      <c r="O36" s="1452">
        <f t="shared" si="10"/>
        <v>19.310959999999998</v>
      </c>
      <c r="P36" s="6"/>
      <c r="Q36" s="2583"/>
      <c r="R36" s="2583"/>
      <c r="S36" s="2583"/>
      <c r="T36" s="2583"/>
      <c r="U36" s="2583"/>
      <c r="V36" s="2583"/>
      <c r="W36" s="2589">
        <f t="shared" si="5"/>
        <v>16200</v>
      </c>
      <c r="X36" s="2598">
        <v>13500</v>
      </c>
      <c r="Y36" s="2583"/>
      <c r="Z36" s="2583"/>
    </row>
    <row r="37" spans="1:26" s="19" customFormat="1" ht="39.75" customHeight="1">
      <c r="A37" s="1745" t="s">
        <v>711</v>
      </c>
      <c r="B37" s="1763"/>
      <c r="C37" s="2475" t="s">
        <v>716</v>
      </c>
      <c r="D37" s="2475"/>
      <c r="E37" s="2475"/>
      <c r="F37" s="2475"/>
      <c r="G37" s="2475"/>
      <c r="H37" s="2475"/>
      <c r="I37" s="1534" t="s">
        <v>460</v>
      </c>
      <c r="J37" s="1764">
        <v>265300</v>
      </c>
      <c r="K37" s="1535">
        <f t="shared" si="6"/>
        <v>6.34096</v>
      </c>
      <c r="L37" s="1892">
        <f t="shared" si="7"/>
        <v>265306.34096</v>
      </c>
      <c r="M37" s="1477">
        <f t="shared" si="8"/>
        <v>26.53</v>
      </c>
      <c r="N37" s="1478">
        <f t="shared" si="9"/>
        <v>6.34096</v>
      </c>
      <c r="O37" s="1452">
        <f t="shared" si="10"/>
        <v>32.870960000000004</v>
      </c>
      <c r="P37" s="6"/>
      <c r="Q37" s="2583"/>
      <c r="R37" s="2583"/>
      <c r="S37" s="2583"/>
      <c r="T37" s="2583"/>
      <c r="U37" s="2583"/>
      <c r="V37" s="2583"/>
      <c r="W37" s="2589">
        <f t="shared" si="5"/>
        <v>0</v>
      </c>
      <c r="X37" s="2598"/>
      <c r="Y37" s="2583"/>
      <c r="Z37" s="2583"/>
    </row>
    <row r="38" spans="1:26" s="19" customFormat="1" ht="27.75" customHeight="1">
      <c r="A38" s="1745">
        <v>3</v>
      </c>
      <c r="B38" s="1763"/>
      <c r="C38" s="1757" t="s">
        <v>717</v>
      </c>
      <c r="D38" s="1758"/>
      <c r="E38" s="1758"/>
      <c r="F38" s="1758"/>
      <c r="G38" s="1758"/>
      <c r="H38" s="1758"/>
      <c r="I38" s="1534" t="s">
        <v>460</v>
      </c>
      <c r="J38" s="1764">
        <v>19300</v>
      </c>
      <c r="K38" s="1535">
        <f t="shared" si="6"/>
        <v>1.101</v>
      </c>
      <c r="L38" s="1346">
        <f t="shared" si="7"/>
        <v>19301.101</v>
      </c>
      <c r="M38" s="1477">
        <f t="shared" si="8"/>
        <v>1.93</v>
      </c>
      <c r="N38" s="1478">
        <f t="shared" si="9"/>
        <v>1.101</v>
      </c>
      <c r="O38" s="1452">
        <f t="shared" si="10"/>
        <v>3.0309999999999997</v>
      </c>
      <c r="P38" s="6"/>
      <c r="Q38" s="2583"/>
      <c r="R38" s="2583"/>
      <c r="S38" s="2583"/>
      <c r="T38" s="2583"/>
      <c r="U38" s="2583"/>
      <c r="V38" s="2583"/>
      <c r="W38" s="2589">
        <f t="shared" si="5"/>
        <v>0</v>
      </c>
      <c r="X38" s="2598"/>
      <c r="Y38" s="2583"/>
      <c r="Z38" s="2583"/>
    </row>
    <row r="39" spans="1:26" s="19" customFormat="1" ht="36" customHeight="1">
      <c r="A39" s="1745">
        <v>4</v>
      </c>
      <c r="B39" s="3"/>
      <c r="C39" s="2475" t="s">
        <v>718</v>
      </c>
      <c r="D39" s="2475"/>
      <c r="E39" s="2475"/>
      <c r="F39" s="2475"/>
      <c r="G39" s="2475"/>
      <c r="H39" s="2476"/>
      <c r="I39" s="1534" t="s">
        <v>460</v>
      </c>
      <c r="J39" s="1764">
        <v>42000</v>
      </c>
      <c r="K39" s="1535">
        <f t="shared" si="6"/>
        <v>1.34496</v>
      </c>
      <c r="L39" s="1766">
        <f t="shared" si="7"/>
        <v>42001.34496</v>
      </c>
      <c r="M39" s="1768">
        <f t="shared" si="8"/>
        <v>4.2</v>
      </c>
      <c r="N39" s="1770">
        <f t="shared" si="9"/>
        <v>1.34496</v>
      </c>
      <c r="O39" s="1452">
        <f t="shared" si="10"/>
        <v>5.54496</v>
      </c>
      <c r="P39" s="22"/>
      <c r="Q39" s="2583"/>
      <c r="R39" s="2583"/>
      <c r="S39" s="2583"/>
      <c r="T39" s="2583"/>
      <c r="U39" s="2583"/>
      <c r="V39" s="2583"/>
      <c r="W39" s="2589">
        <f t="shared" si="5"/>
        <v>31560</v>
      </c>
      <c r="X39" s="2598">
        <v>26300</v>
      </c>
      <c r="Y39" s="2583"/>
      <c r="Z39" s="2583"/>
    </row>
    <row r="40" spans="1:26" s="19" customFormat="1" ht="27.75" customHeight="1">
      <c r="A40" s="1745">
        <v>5</v>
      </c>
      <c r="B40" s="3"/>
      <c r="C40" s="1757" t="s">
        <v>719</v>
      </c>
      <c r="D40" s="1758"/>
      <c r="E40" s="1758"/>
      <c r="F40" s="1758"/>
      <c r="G40" s="1758"/>
      <c r="H40" s="1758"/>
      <c r="I40" s="1534" t="s">
        <v>460</v>
      </c>
      <c r="J40" s="1764">
        <v>19300</v>
      </c>
      <c r="K40" s="1535">
        <f t="shared" si="6"/>
        <v>1.101</v>
      </c>
      <c r="L40" s="1766">
        <f t="shared" si="7"/>
        <v>19301.101</v>
      </c>
      <c r="M40" s="1768">
        <f t="shared" si="8"/>
        <v>1.93</v>
      </c>
      <c r="N40" s="1770">
        <f t="shared" si="9"/>
        <v>1.101</v>
      </c>
      <c r="O40" s="1452">
        <f t="shared" si="10"/>
        <v>3.0309999999999997</v>
      </c>
      <c r="P40" s="22"/>
      <c r="Q40" s="2583"/>
      <c r="R40" s="2588">
        <f>L40-19350</f>
        <v>-48.89900000000125</v>
      </c>
      <c r="S40" s="2583"/>
      <c r="T40" s="2583"/>
      <c r="U40" s="2583"/>
      <c r="V40" s="2583"/>
      <c r="W40" s="2589">
        <f t="shared" si="5"/>
        <v>23760</v>
      </c>
      <c r="X40" s="2598">
        <v>19800</v>
      </c>
      <c r="Y40" s="2583"/>
      <c r="Z40" s="2583"/>
    </row>
    <row r="41" spans="1:26" s="19" customFormat="1" ht="27.75" customHeight="1">
      <c r="A41" s="1745">
        <v>6</v>
      </c>
      <c r="B41" s="3"/>
      <c r="C41" s="1757" t="s">
        <v>720</v>
      </c>
      <c r="D41" s="1758"/>
      <c r="E41" s="1758"/>
      <c r="F41" s="1758"/>
      <c r="G41" s="1758"/>
      <c r="H41" s="1758"/>
      <c r="I41" s="1534" t="s">
        <v>460</v>
      </c>
      <c r="J41" s="1764">
        <v>19300</v>
      </c>
      <c r="K41" s="1535">
        <f t="shared" si="6"/>
        <v>0.247</v>
      </c>
      <c r="L41" s="1766">
        <f t="shared" si="7"/>
        <v>19300.247</v>
      </c>
      <c r="M41" s="1768">
        <f t="shared" si="8"/>
        <v>1.93</v>
      </c>
      <c r="N41" s="1770">
        <f t="shared" si="9"/>
        <v>0.247</v>
      </c>
      <c r="O41" s="1452">
        <f t="shared" si="10"/>
        <v>2.177</v>
      </c>
      <c r="P41" s="22"/>
      <c r="Q41" s="2583"/>
      <c r="R41" s="2583"/>
      <c r="S41" s="2583"/>
      <c r="T41" s="2583"/>
      <c r="U41" s="2583"/>
      <c r="V41" s="2583"/>
      <c r="W41" s="2589">
        <f t="shared" si="5"/>
        <v>23760</v>
      </c>
      <c r="X41" s="2598">
        <v>19800</v>
      </c>
      <c r="Y41" s="2583"/>
      <c r="Z41" s="2583"/>
    </row>
    <row r="42" spans="1:26" s="19" customFormat="1" ht="18.75">
      <c r="A42" s="1753"/>
      <c r="B42" s="133"/>
      <c r="C42" s="633"/>
      <c r="D42" s="133"/>
      <c r="E42" s="133"/>
      <c r="F42" s="133"/>
      <c r="G42" s="133"/>
      <c r="H42" s="89"/>
      <c r="I42" s="715"/>
      <c r="J42" s="1765"/>
      <c r="K42" s="1755"/>
      <c r="L42" s="1767"/>
      <c r="M42" s="1769"/>
      <c r="N42" s="1771"/>
      <c r="O42" s="1449"/>
      <c r="P42" s="22"/>
      <c r="Q42" s="2583"/>
      <c r="R42" s="2583"/>
      <c r="S42" s="2583"/>
      <c r="T42" s="2583"/>
      <c r="U42" s="2583"/>
      <c r="V42" s="2583"/>
      <c r="W42" s="2589"/>
      <c r="X42" s="2598"/>
      <c r="Y42" s="2583"/>
      <c r="Z42" s="2583"/>
    </row>
    <row r="44" spans="2:14" ht="15">
      <c r="B44" s="957" t="s">
        <v>19</v>
      </c>
      <c r="C44" s="831"/>
      <c r="D44" s="831"/>
      <c r="E44" s="916"/>
      <c r="F44" s="831"/>
      <c r="G44" s="831"/>
      <c r="H44" s="831"/>
      <c r="I44" s="917"/>
      <c r="J44" s="918"/>
      <c r="K44" s="916"/>
      <c r="L44" s="917"/>
      <c r="M44" s="918" t="str">
        <f>'лаб-рия'!N140</f>
        <v>М.В. Ровгач</v>
      </c>
      <c r="N44" s="916"/>
    </row>
    <row r="45" spans="2:14" ht="15">
      <c r="B45" s="830"/>
      <c r="C45" s="831"/>
      <c r="D45" s="831"/>
      <c r="E45" s="916"/>
      <c r="F45" s="831"/>
      <c r="G45" s="831"/>
      <c r="H45" s="831"/>
      <c r="I45" s="917"/>
      <c r="J45" s="919"/>
      <c r="K45" s="916"/>
      <c r="L45" s="917"/>
      <c r="M45" s="919"/>
      <c r="N45" s="916"/>
    </row>
    <row r="46" spans="2:14" ht="15">
      <c r="B46" s="1196" t="s">
        <v>152</v>
      </c>
      <c r="C46" s="831"/>
      <c r="D46" s="831"/>
      <c r="E46" s="916"/>
      <c r="F46" s="831"/>
      <c r="G46" s="831"/>
      <c r="H46" s="831"/>
      <c r="I46" s="917"/>
      <c r="J46" s="919"/>
      <c r="K46" s="916"/>
      <c r="L46" s="917"/>
      <c r="M46" s="919" t="s">
        <v>176</v>
      </c>
      <c r="N46" s="916"/>
    </row>
    <row r="47" spans="2:14" ht="15">
      <c r="B47" s="831"/>
      <c r="C47" s="831"/>
      <c r="D47" s="831"/>
      <c r="E47" s="916"/>
      <c r="F47" s="831"/>
      <c r="G47" s="831"/>
      <c r="H47" s="831"/>
      <c r="I47" s="917"/>
      <c r="J47" s="919"/>
      <c r="K47" s="916"/>
      <c r="L47" s="917"/>
      <c r="M47" s="919"/>
      <c r="N47" s="916"/>
    </row>
    <row r="48" spans="2:14" ht="15">
      <c r="B48" s="952" t="s">
        <v>829</v>
      </c>
      <c r="C48" s="831"/>
      <c r="D48" s="831"/>
      <c r="E48" s="916"/>
      <c r="F48" s="831"/>
      <c r="G48" s="831"/>
      <c r="H48" s="831"/>
      <c r="I48" s="917"/>
      <c r="J48" s="919"/>
      <c r="K48" s="916"/>
      <c r="L48" s="917"/>
      <c r="M48" s="919" t="s">
        <v>830</v>
      </c>
      <c r="N48" s="916"/>
    </row>
    <row r="49" spans="2:14" ht="15">
      <c r="B49" s="831"/>
      <c r="C49" s="539"/>
      <c r="D49" s="539"/>
      <c r="E49" s="2"/>
      <c r="F49" s="2"/>
      <c r="G49" s="2"/>
      <c r="H49" s="539"/>
      <c r="I49" s="614"/>
      <c r="J49" s="919"/>
      <c r="K49" s="5"/>
      <c r="L49" s="614"/>
      <c r="M49" s="919"/>
      <c r="N49" s="5"/>
    </row>
    <row r="50" spans="2:14" ht="15">
      <c r="B50" s="1195" t="s">
        <v>831</v>
      </c>
      <c r="C50" s="1195"/>
      <c r="D50" s="1195"/>
      <c r="E50" s="2"/>
      <c r="F50" s="2"/>
      <c r="G50" s="2"/>
      <c r="H50" s="539"/>
      <c r="I50" s="614"/>
      <c r="J50" s="919"/>
      <c r="K50" s="5"/>
      <c r="L50" s="614"/>
      <c r="M50" s="919" t="s">
        <v>832</v>
      </c>
      <c r="N50" s="5"/>
    </row>
  </sheetData>
  <sheetProtection/>
  <mergeCells count="15">
    <mergeCell ref="C39:H39"/>
    <mergeCell ref="C37:H37"/>
    <mergeCell ref="C36:H36"/>
    <mergeCell ref="C23:H23"/>
    <mergeCell ref="C24:H24"/>
    <mergeCell ref="C25:H25"/>
    <mergeCell ref="C32:H32"/>
    <mergeCell ref="C20:H20"/>
    <mergeCell ref="C35:H35"/>
    <mergeCell ref="A6:L6"/>
    <mergeCell ref="A7:O7"/>
    <mergeCell ref="A8:O8"/>
    <mergeCell ref="J11:L12"/>
    <mergeCell ref="M11:O12"/>
    <mergeCell ref="C27:H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  <colBreaks count="1" manualBreakCount="1">
    <brk id="1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V88"/>
  <sheetViews>
    <sheetView view="pageBreakPreview" zoomScaleSheetLayoutView="100" zoomScalePageLayoutView="0" workbookViewId="0" topLeftCell="A1">
      <selection activeCell="Q70" sqref="Q70"/>
    </sheetView>
  </sheetViews>
  <sheetFormatPr defaultColWidth="9.140625" defaultRowHeight="12.75"/>
  <cols>
    <col min="1" max="1" width="4.00390625" style="331" customWidth="1"/>
    <col min="2" max="5" width="7.00390625" style="331" customWidth="1"/>
    <col min="6" max="6" width="17.421875" style="331" customWidth="1"/>
    <col min="7" max="7" width="10.00390625" style="331" customWidth="1"/>
    <col min="8" max="8" width="12.8515625" style="331" customWidth="1"/>
    <col min="9" max="9" width="8.421875" style="331" hidden="1" customWidth="1"/>
    <col min="10" max="10" width="8.421875" style="331" customWidth="1"/>
    <col min="11" max="11" width="8.421875" style="1798" hidden="1" customWidth="1"/>
    <col min="12" max="12" width="11.8515625" style="1798" customWidth="1"/>
    <col min="13" max="13" width="9.57421875" style="1798" hidden="1" customWidth="1"/>
    <col min="14" max="14" width="8.421875" style="1798" customWidth="1"/>
    <col min="15" max="15" width="10.140625" style="1798" customWidth="1"/>
    <col min="16" max="16" width="9.00390625" style="1798" customWidth="1"/>
    <col min="17" max="17" width="10.421875" style="1798" customWidth="1"/>
    <col min="18" max="18" width="5.28125" style="1860" customWidth="1"/>
    <col min="19" max="19" width="8.8515625" style="1798" customWidth="1"/>
    <col min="20" max="20" width="10.28125" style="1798" customWidth="1"/>
    <col min="21" max="21" width="11.7109375" style="1798" customWidth="1"/>
    <col min="22" max="22" width="9.140625" style="1125" customWidth="1"/>
    <col min="23" max="16384" width="9.140625" style="1798" customWidth="1"/>
  </cols>
  <sheetData>
    <row r="1" spans="1:22" s="1787" customFormat="1" ht="15.75">
      <c r="A1" s="1784"/>
      <c r="B1" s="1784"/>
      <c r="C1" s="1784"/>
      <c r="D1" s="1784"/>
      <c r="E1" s="1784"/>
      <c r="F1" s="1784"/>
      <c r="G1" s="1784"/>
      <c r="H1" s="409"/>
      <c r="I1" s="1784"/>
      <c r="J1" s="1784"/>
      <c r="K1" s="1784"/>
      <c r="L1" s="409" t="s">
        <v>436</v>
      </c>
      <c r="M1" s="409"/>
      <c r="N1" s="409"/>
      <c r="O1" s="344"/>
      <c r="P1" s="344"/>
      <c r="Q1" s="344"/>
      <c r="R1" s="1785"/>
      <c r="S1" s="127"/>
      <c r="T1" s="127"/>
      <c r="U1" s="127"/>
      <c r="V1" s="1786"/>
    </row>
    <row r="2" spans="1:22" s="1787" customFormat="1" ht="15.75">
      <c r="A2" s="1784"/>
      <c r="B2" s="1784"/>
      <c r="C2" s="1784"/>
      <c r="D2" s="1784"/>
      <c r="E2" s="1784"/>
      <c r="F2" s="1784"/>
      <c r="G2" s="1784"/>
      <c r="H2" s="1199"/>
      <c r="I2" s="1784"/>
      <c r="J2" s="1784"/>
      <c r="K2" s="1784"/>
      <c r="L2" s="1199"/>
      <c r="M2" s="1788"/>
      <c r="N2" s="1202" t="s">
        <v>437</v>
      </c>
      <c r="O2" s="344"/>
      <c r="P2" s="344"/>
      <c r="Q2" s="344"/>
      <c r="R2" s="1785"/>
      <c r="S2" s="127"/>
      <c r="T2" s="127"/>
      <c r="U2" s="127"/>
      <c r="V2" s="1786"/>
    </row>
    <row r="3" spans="1:22" s="1787" customFormat="1" ht="15.75">
      <c r="A3" s="1784"/>
      <c r="B3" s="1784"/>
      <c r="C3" s="1784"/>
      <c r="D3" s="1784"/>
      <c r="E3" s="1784"/>
      <c r="F3" s="1784"/>
      <c r="G3" s="1784"/>
      <c r="H3" s="1199"/>
      <c r="I3" s="1784"/>
      <c r="J3" s="1784"/>
      <c r="K3" s="1784"/>
      <c r="L3" s="1199"/>
      <c r="M3" s="1199"/>
      <c r="N3" s="1202" t="s">
        <v>27</v>
      </c>
      <c r="O3" s="344"/>
      <c r="P3" s="344"/>
      <c r="Q3" s="344"/>
      <c r="R3" s="1785"/>
      <c r="S3" s="127"/>
      <c r="T3" s="127"/>
      <c r="U3" s="410"/>
      <c r="V3" s="1786"/>
    </row>
    <row r="4" spans="1:22" s="1787" customFormat="1" ht="15.75">
      <c r="A4" s="1784"/>
      <c r="B4" s="1784"/>
      <c r="C4" s="1784"/>
      <c r="D4" s="1784"/>
      <c r="E4" s="1784"/>
      <c r="F4" s="1784"/>
      <c r="G4" s="1784"/>
      <c r="H4" s="376"/>
      <c r="I4" s="1784"/>
      <c r="J4" s="1902">
        <f>манипуляции!M4</f>
        <v>1</v>
      </c>
      <c r="K4" s="1784"/>
      <c r="L4" s="387" t="str">
        <f>манипуляции!N4</f>
        <v>июля</v>
      </c>
      <c r="M4" s="1203" t="str">
        <f>манипуляции!N4</f>
        <v>июля</v>
      </c>
      <c r="N4" s="1202" t="str">
        <f>манипуляции!O4</f>
        <v>2017 г.</v>
      </c>
      <c r="O4" s="344"/>
      <c r="P4" s="344"/>
      <c r="Q4" s="344"/>
      <c r="R4" s="1785"/>
      <c r="S4" s="376"/>
      <c r="T4" s="376"/>
      <c r="U4" s="410"/>
      <c r="V4" s="1786"/>
    </row>
    <row r="5" spans="1:22" s="1794" customFormat="1" ht="15">
      <c r="A5" s="1199"/>
      <c r="B5" s="1199"/>
      <c r="C5" s="1199"/>
      <c r="D5" s="1199"/>
      <c r="E5" s="1199"/>
      <c r="F5" s="1199"/>
      <c r="G5" s="1199"/>
      <c r="H5" s="1204"/>
      <c r="I5" s="1204"/>
      <c r="J5" s="1789"/>
      <c r="K5" s="237"/>
      <c r="L5" s="237"/>
      <c r="M5" s="237"/>
      <c r="N5" s="237"/>
      <c r="O5" s="237"/>
      <c r="P5" s="237"/>
      <c r="Q5" s="237"/>
      <c r="R5" s="1790"/>
      <c r="S5" s="1240"/>
      <c r="T5" s="1791"/>
      <c r="U5" s="1792"/>
      <c r="V5" s="1793"/>
    </row>
    <row r="6" spans="1:22" s="1794" customFormat="1" ht="15">
      <c r="A6" s="1199"/>
      <c r="B6" s="1199"/>
      <c r="C6" s="1199"/>
      <c r="D6" s="1199"/>
      <c r="E6" s="1199"/>
      <c r="F6" s="1199"/>
      <c r="G6" s="1199"/>
      <c r="H6" s="1204"/>
      <c r="I6" s="1204"/>
      <c r="J6" s="1789"/>
      <c r="K6" s="237"/>
      <c r="L6" s="237"/>
      <c r="M6" s="237"/>
      <c r="N6" s="237"/>
      <c r="O6" s="237"/>
      <c r="P6" s="237"/>
      <c r="Q6" s="237"/>
      <c r="R6" s="1790"/>
      <c r="S6" s="1240"/>
      <c r="T6" s="1791"/>
      <c r="U6" s="1792"/>
      <c r="V6" s="1793"/>
    </row>
    <row r="7" spans="1:22" s="1794" customFormat="1" ht="15">
      <c r="A7" s="1199"/>
      <c r="B7" s="1199"/>
      <c r="C7" s="1199"/>
      <c r="D7" s="1199"/>
      <c r="E7" s="1199"/>
      <c r="F7" s="1199"/>
      <c r="G7" s="1199"/>
      <c r="H7" s="1204"/>
      <c r="I7" s="1204"/>
      <c r="J7" s="1789"/>
      <c r="K7" s="237"/>
      <c r="L7" s="237"/>
      <c r="M7" s="237"/>
      <c r="N7" s="237"/>
      <c r="O7" s="237"/>
      <c r="P7" s="237"/>
      <c r="Q7" s="237"/>
      <c r="R7" s="1790"/>
      <c r="S7" s="1240"/>
      <c r="T7" s="1791"/>
      <c r="U7" s="1792"/>
      <c r="V7" s="1793"/>
    </row>
    <row r="8" spans="1:22" ht="18.75">
      <c r="A8" s="2481" t="s">
        <v>439</v>
      </c>
      <c r="B8" s="2481"/>
      <c r="C8" s="2481"/>
      <c r="D8" s="2481"/>
      <c r="E8" s="2481"/>
      <c r="F8" s="2481"/>
      <c r="G8" s="2481"/>
      <c r="H8" s="2481"/>
      <c r="I8" s="2481"/>
      <c r="J8" s="2481"/>
      <c r="K8" s="2481"/>
      <c r="L8" s="2481"/>
      <c r="M8" s="2481"/>
      <c r="N8" s="2481"/>
      <c r="O8" s="1211"/>
      <c r="P8" s="1795"/>
      <c r="Q8" s="329"/>
      <c r="R8" s="1796"/>
      <c r="S8" s="329"/>
      <c r="T8" s="329"/>
      <c r="U8" s="1797"/>
      <c r="V8" s="620"/>
    </row>
    <row r="9" spans="1:22" ht="18.75" customHeight="1">
      <c r="A9" s="2482" t="s">
        <v>28</v>
      </c>
      <c r="B9" s="2482"/>
      <c r="C9" s="2482"/>
      <c r="D9" s="2482"/>
      <c r="E9" s="2482"/>
      <c r="F9" s="2482"/>
      <c r="G9" s="2482"/>
      <c r="H9" s="2482"/>
      <c r="I9" s="2482"/>
      <c r="J9" s="2482"/>
      <c r="K9" s="2482"/>
      <c r="L9" s="2482"/>
      <c r="M9" s="2482"/>
      <c r="N9" s="2482"/>
      <c r="O9" s="1211"/>
      <c r="P9" s="1795"/>
      <c r="Q9" s="329"/>
      <c r="R9" s="1796"/>
      <c r="S9" s="329"/>
      <c r="T9" s="329"/>
      <c r="U9" s="1797"/>
      <c r="V9" s="620"/>
    </row>
    <row r="10" spans="1:22" ht="18.75">
      <c r="A10" s="2483"/>
      <c r="B10" s="2483"/>
      <c r="C10" s="2483"/>
      <c r="D10" s="2483"/>
      <c r="E10" s="2483"/>
      <c r="F10" s="2483"/>
      <c r="G10" s="2483"/>
      <c r="H10" s="2483"/>
      <c r="I10" s="2483"/>
      <c r="J10" s="2483"/>
      <c r="K10" s="1211"/>
      <c r="L10" s="1211"/>
      <c r="M10" s="1211"/>
      <c r="N10" s="1211"/>
      <c r="O10" s="1211"/>
      <c r="P10" s="1795"/>
      <c r="Q10" s="1211"/>
      <c r="R10" s="1799"/>
      <c r="S10" s="1211"/>
      <c r="T10" s="329"/>
      <c r="U10" s="1797"/>
      <c r="V10" s="620"/>
    </row>
    <row r="11" spans="1:22" ht="12.75">
      <c r="A11" s="1212"/>
      <c r="B11" s="1800" t="s">
        <v>441</v>
      </c>
      <c r="C11" s="1890" t="str">
        <f>манипуляции!D10</f>
        <v>01.07.2017г.</v>
      </c>
      <c r="D11" s="1801"/>
      <c r="E11" s="1212"/>
      <c r="F11" s="1213"/>
      <c r="G11" s="1212"/>
      <c r="H11" s="1212"/>
      <c r="I11" s="1212"/>
      <c r="K11" s="1211"/>
      <c r="L11" s="1211"/>
      <c r="M11" s="1211"/>
      <c r="N11" s="1211"/>
      <c r="O11" s="1211"/>
      <c r="P11" s="1218"/>
      <c r="Q11" s="1211"/>
      <c r="R11" s="1799"/>
      <c r="S11" s="1211"/>
      <c r="T11" s="329"/>
      <c r="U11" s="1797"/>
      <c r="V11" s="620"/>
    </row>
    <row r="12" spans="1:22" ht="12.75">
      <c r="A12" s="1212"/>
      <c r="B12" s="1800"/>
      <c r="C12" s="2484"/>
      <c r="D12" s="2484"/>
      <c r="E12" s="1212"/>
      <c r="F12" s="1213"/>
      <c r="G12" s="1212"/>
      <c r="H12" s="1212"/>
      <c r="I12" s="1212"/>
      <c r="K12" s="1211"/>
      <c r="L12" s="1211"/>
      <c r="M12" s="1211"/>
      <c r="N12" s="1211"/>
      <c r="O12" s="1211"/>
      <c r="P12" s="1218"/>
      <c r="Q12" s="1211"/>
      <c r="R12" s="1799"/>
      <c r="S12" s="1211"/>
      <c r="T12" s="1211"/>
      <c r="U12" s="329"/>
      <c r="V12" s="620"/>
    </row>
    <row r="13" spans="1:22" ht="30.75" customHeight="1">
      <c r="A13" s="1783" t="s">
        <v>444</v>
      </c>
      <c r="B13" s="1802"/>
      <c r="C13" s="1803"/>
      <c r="D13" s="1803"/>
      <c r="E13" s="361"/>
      <c r="F13" s="1803"/>
      <c r="G13" s="1803"/>
      <c r="H13" s="1804" t="s">
        <v>844</v>
      </c>
      <c r="I13" s="2477" t="s">
        <v>447</v>
      </c>
      <c r="J13" s="2478"/>
      <c r="K13" s="2477" t="s">
        <v>29</v>
      </c>
      <c r="L13" s="2478"/>
      <c r="M13" s="2479" t="s">
        <v>30</v>
      </c>
      <c r="N13" s="2480"/>
      <c r="O13" s="330"/>
      <c r="P13" s="329"/>
      <c r="Q13" s="329"/>
      <c r="R13" s="1796"/>
      <c r="S13" s="330"/>
      <c r="T13" s="330"/>
      <c r="U13" s="330"/>
      <c r="V13" s="620"/>
    </row>
    <row r="14" spans="1:22" ht="15">
      <c r="A14" s="1805" t="s">
        <v>450</v>
      </c>
      <c r="B14" s="388"/>
      <c r="C14" s="329"/>
      <c r="D14" s="329"/>
      <c r="E14" s="1240" t="s">
        <v>31</v>
      </c>
      <c r="F14" s="329"/>
      <c r="G14" s="329" t="s">
        <v>32</v>
      </c>
      <c r="H14" s="2485" t="s">
        <v>33</v>
      </c>
      <c r="I14" s="2486" t="s">
        <v>457</v>
      </c>
      <c r="J14" s="2487"/>
      <c r="K14" s="2486" t="s">
        <v>457</v>
      </c>
      <c r="L14" s="2487"/>
      <c r="M14" s="2486" t="s">
        <v>457</v>
      </c>
      <c r="N14" s="2487"/>
      <c r="O14" s="330"/>
      <c r="P14" s="329"/>
      <c r="Q14" s="329"/>
      <c r="R14" s="1796"/>
      <c r="S14" s="330"/>
      <c r="T14" s="330"/>
      <c r="U14" s="330"/>
      <c r="V14" s="620"/>
    </row>
    <row r="15" spans="1:22" ht="12.75" hidden="1">
      <c r="A15" s="329"/>
      <c r="B15" s="388"/>
      <c r="C15" s="329"/>
      <c r="D15" s="329"/>
      <c r="E15" s="330"/>
      <c r="F15" s="329"/>
      <c r="G15" s="329"/>
      <c r="H15" s="2485"/>
      <c r="I15" s="2488" t="s">
        <v>34</v>
      </c>
      <c r="J15" s="2491" t="s">
        <v>35</v>
      </c>
      <c r="K15" s="2488" t="s">
        <v>34</v>
      </c>
      <c r="L15" s="2491" t="s">
        <v>35</v>
      </c>
      <c r="M15" s="2488" t="s">
        <v>34</v>
      </c>
      <c r="N15" s="2491" t="s">
        <v>35</v>
      </c>
      <c r="O15" s="330"/>
      <c r="P15" s="329"/>
      <c r="Q15" s="329"/>
      <c r="R15" s="1796"/>
      <c r="S15" s="330"/>
      <c r="T15" s="330"/>
      <c r="U15" s="330"/>
      <c r="V15" s="620"/>
    </row>
    <row r="16" spans="1:22" ht="12.75" hidden="1">
      <c r="A16" s="1805"/>
      <c r="B16" s="388"/>
      <c r="C16" s="329"/>
      <c r="D16" s="329"/>
      <c r="E16" s="330"/>
      <c r="F16" s="329"/>
      <c r="G16" s="329"/>
      <c r="H16" s="370"/>
      <c r="I16" s="2489"/>
      <c r="J16" s="2485"/>
      <c r="K16" s="2489"/>
      <c r="L16" s="2485"/>
      <c r="M16" s="2489"/>
      <c r="N16" s="2485"/>
      <c r="O16" s="330"/>
      <c r="P16" s="329"/>
      <c r="Q16" s="329"/>
      <c r="R16" s="1796"/>
      <c r="S16" s="330"/>
      <c r="T16" s="330"/>
      <c r="U16" s="330"/>
      <c r="V16" s="620"/>
    </row>
    <row r="17" spans="1:22" ht="12.75" hidden="1">
      <c r="A17" s="1807"/>
      <c r="B17" s="395"/>
      <c r="C17" s="396"/>
      <c r="D17" s="396"/>
      <c r="E17" s="396"/>
      <c r="F17" s="396"/>
      <c r="G17" s="396"/>
      <c r="H17" s="1808" t="s">
        <v>313</v>
      </c>
      <c r="I17" s="2490"/>
      <c r="J17" s="2492"/>
      <c r="K17" s="2490"/>
      <c r="L17" s="2492"/>
      <c r="M17" s="2490"/>
      <c r="N17" s="2492"/>
      <c r="O17" s="329"/>
      <c r="P17" s="329"/>
      <c r="Q17" s="329"/>
      <c r="R17" s="1796"/>
      <c r="S17" s="330"/>
      <c r="T17" s="330"/>
      <c r="U17" s="330"/>
      <c r="V17" s="620"/>
    </row>
    <row r="18" spans="1:22" ht="12.75" hidden="1">
      <c r="A18" s="1809" t="s">
        <v>444</v>
      </c>
      <c r="B18" s="1810"/>
      <c r="C18" s="1811"/>
      <c r="D18" s="1811"/>
      <c r="E18" s="1812"/>
      <c r="F18" s="1811"/>
      <c r="G18" s="1811"/>
      <c r="H18" s="1813" t="s">
        <v>844</v>
      </c>
      <c r="I18" s="1809" t="s">
        <v>844</v>
      </c>
      <c r="J18" s="1813" t="s">
        <v>36</v>
      </c>
      <c r="K18" s="1809" t="s">
        <v>844</v>
      </c>
      <c r="L18" s="1813" t="s">
        <v>36</v>
      </c>
      <c r="M18" s="1809" t="s">
        <v>844</v>
      </c>
      <c r="N18" s="1813" t="s">
        <v>36</v>
      </c>
      <c r="O18" s="330"/>
      <c r="P18" s="329"/>
      <c r="Q18" s="329"/>
      <c r="R18" s="1796"/>
      <c r="S18" s="330"/>
      <c r="T18" s="330"/>
      <c r="U18" s="330"/>
      <c r="V18" s="620"/>
    </row>
    <row r="19" spans="1:22" ht="12.75" hidden="1">
      <c r="A19" s="1814" t="s">
        <v>450</v>
      </c>
      <c r="B19" s="1815"/>
      <c r="C19" s="1816"/>
      <c r="D19" s="1816"/>
      <c r="E19" s="1817" t="s">
        <v>31</v>
      </c>
      <c r="F19" s="1816"/>
      <c r="G19" s="1816" t="s">
        <v>32</v>
      </c>
      <c r="H19" s="1818" t="s">
        <v>849</v>
      </c>
      <c r="I19" s="1814" t="s">
        <v>849</v>
      </c>
      <c r="J19" s="1818" t="s">
        <v>453</v>
      </c>
      <c r="K19" s="1814" t="s">
        <v>849</v>
      </c>
      <c r="L19" s="1818" t="s">
        <v>453</v>
      </c>
      <c r="M19" s="1814" t="s">
        <v>849</v>
      </c>
      <c r="N19" s="1818" t="s">
        <v>453</v>
      </c>
      <c r="O19" s="330"/>
      <c r="P19" s="329"/>
      <c r="Q19" s="329"/>
      <c r="R19" s="1796"/>
      <c r="S19" s="330"/>
      <c r="T19" s="330"/>
      <c r="U19" s="330"/>
      <c r="V19" s="620"/>
    </row>
    <row r="20" spans="1:22" ht="12.75" hidden="1">
      <c r="A20" s="1814"/>
      <c r="B20" s="1815"/>
      <c r="C20" s="1816"/>
      <c r="D20" s="1816"/>
      <c r="E20" s="1817"/>
      <c r="F20" s="1816"/>
      <c r="G20" s="1816"/>
      <c r="H20" s="1818"/>
      <c r="I20" s="1814"/>
      <c r="J20" s="1818" t="s">
        <v>37</v>
      </c>
      <c r="K20" s="1814"/>
      <c r="L20" s="1818" t="s">
        <v>37</v>
      </c>
      <c r="M20" s="1814"/>
      <c r="N20" s="1818" t="s">
        <v>37</v>
      </c>
      <c r="O20" s="330"/>
      <c r="P20" s="329"/>
      <c r="Q20" s="329"/>
      <c r="R20" s="1796"/>
      <c r="S20" s="330"/>
      <c r="T20" s="330"/>
      <c r="U20" s="330"/>
      <c r="V20" s="620"/>
    </row>
    <row r="21" spans="1:22" ht="12.75" hidden="1">
      <c r="A21" s="1819"/>
      <c r="B21" s="1820"/>
      <c r="C21" s="1821"/>
      <c r="D21" s="1821"/>
      <c r="E21" s="1821"/>
      <c r="F21" s="1821"/>
      <c r="G21" s="1821"/>
      <c r="H21" s="1822"/>
      <c r="I21" s="1823"/>
      <c r="J21" s="1822" t="s">
        <v>457</v>
      </c>
      <c r="K21" s="1823"/>
      <c r="L21" s="1822" t="s">
        <v>457</v>
      </c>
      <c r="M21" s="1823"/>
      <c r="N21" s="1822" t="s">
        <v>457</v>
      </c>
      <c r="O21" s="329"/>
      <c r="P21" s="329"/>
      <c r="Q21" s="329"/>
      <c r="R21" s="1796"/>
      <c r="S21" s="330"/>
      <c r="T21" s="330"/>
      <c r="U21" s="330"/>
      <c r="V21" s="620"/>
    </row>
    <row r="22" spans="1:22" ht="15.75">
      <c r="A22" s="1805"/>
      <c r="B22" s="1824"/>
      <c r="C22" s="329"/>
      <c r="D22" s="329"/>
      <c r="E22" s="329"/>
      <c r="F22" s="329"/>
      <c r="G22" s="329"/>
      <c r="H22" s="369"/>
      <c r="I22" s="1825"/>
      <c r="J22" s="1826"/>
      <c r="K22" s="1825"/>
      <c r="L22" s="1826"/>
      <c r="M22" s="1825"/>
      <c r="N22" s="1826"/>
      <c r="O22" s="329"/>
      <c r="P22" s="329"/>
      <c r="Q22" s="329"/>
      <c r="R22" s="1796"/>
      <c r="S22" s="330"/>
      <c r="T22" s="1827"/>
      <c r="U22" s="1828"/>
      <c r="V22" s="620"/>
    </row>
    <row r="23" spans="1:22" ht="21.75" customHeight="1">
      <c r="A23" s="1805"/>
      <c r="B23" s="1829" t="s">
        <v>38</v>
      </c>
      <c r="C23" s="1830"/>
      <c r="D23" s="1830"/>
      <c r="E23" s="1830"/>
      <c r="F23" s="1830"/>
      <c r="G23" s="1830"/>
      <c r="H23" s="369"/>
      <c r="I23" s="1825"/>
      <c r="J23" s="1826"/>
      <c r="K23" s="1825"/>
      <c r="L23" s="1826"/>
      <c r="M23" s="1825"/>
      <c r="N23" s="1826"/>
      <c r="O23" s="329"/>
      <c r="P23" s="329"/>
      <c r="Q23" s="329"/>
      <c r="R23" s="1796"/>
      <c r="S23" s="330"/>
      <c r="T23" s="1827"/>
      <c r="U23" s="1828"/>
      <c r="V23" s="620"/>
    </row>
    <row r="24" spans="1:22" ht="67.5" customHeight="1">
      <c r="A24" s="1831">
        <v>1</v>
      </c>
      <c r="B24" s="2493" t="s">
        <v>39</v>
      </c>
      <c r="C24" s="2494"/>
      <c r="D24" s="2494"/>
      <c r="E24" s="2494"/>
      <c r="F24" s="2494"/>
      <c r="G24" s="2494"/>
      <c r="H24" s="1832" t="s">
        <v>573</v>
      </c>
      <c r="I24" s="1833">
        <v>22800</v>
      </c>
      <c r="J24" s="1834">
        <f>I24/10000</f>
        <v>2.28</v>
      </c>
      <c r="K24" s="1833">
        <v>2000</v>
      </c>
      <c r="L24" s="1834">
        <f>K24/10000</f>
        <v>0.2</v>
      </c>
      <c r="M24" s="1833">
        <f>I24+K24</f>
        <v>24800</v>
      </c>
      <c r="N24" s="1834">
        <f>M24/10000</f>
        <v>2.48</v>
      </c>
      <c r="O24" s="329"/>
      <c r="P24" s="329"/>
      <c r="Q24" s="329"/>
      <c r="R24" s="1796"/>
      <c r="S24" s="330"/>
      <c r="T24" s="1827"/>
      <c r="U24" s="1828"/>
      <c r="V24" s="620"/>
    </row>
    <row r="25" spans="1:22" ht="70.5" customHeight="1">
      <c r="A25" s="1835">
        <v>2</v>
      </c>
      <c r="B25" s="2495" t="s">
        <v>40</v>
      </c>
      <c r="C25" s="2496"/>
      <c r="D25" s="2496"/>
      <c r="E25" s="2496"/>
      <c r="F25" s="2496"/>
      <c r="G25" s="2496"/>
      <c r="H25" s="1836" t="s">
        <v>573</v>
      </c>
      <c r="I25" s="1837">
        <v>22800</v>
      </c>
      <c r="J25" s="1838">
        <f>I25/10000</f>
        <v>2.28</v>
      </c>
      <c r="K25" s="1837">
        <v>2000</v>
      </c>
      <c r="L25" s="1838">
        <f>K25/10000</f>
        <v>0.2</v>
      </c>
      <c r="M25" s="1837">
        <f>I25+K25</f>
        <v>24800</v>
      </c>
      <c r="N25" s="1838">
        <f>M25/10000</f>
        <v>2.48</v>
      </c>
      <c r="O25" s="329"/>
      <c r="P25" s="329"/>
      <c r="Q25" s="329"/>
      <c r="R25" s="1796"/>
      <c r="S25" s="330"/>
      <c r="T25" s="1827"/>
      <c r="U25" s="1828"/>
      <c r="V25" s="620"/>
    </row>
    <row r="26" spans="1:22" ht="44.25" customHeight="1">
      <c r="A26" s="1839">
        <v>3</v>
      </c>
      <c r="B26" s="2495" t="s">
        <v>41</v>
      </c>
      <c r="C26" s="2496"/>
      <c r="D26" s="2496"/>
      <c r="E26" s="2496"/>
      <c r="F26" s="2496"/>
      <c r="G26" s="2496"/>
      <c r="H26" s="1836" t="s">
        <v>573</v>
      </c>
      <c r="I26" s="1837">
        <v>17900</v>
      </c>
      <c r="J26" s="1838">
        <f>I26/10000</f>
        <v>1.79</v>
      </c>
      <c r="K26" s="1837">
        <v>2000</v>
      </c>
      <c r="L26" s="1838">
        <f>K26/10000</f>
        <v>0.2</v>
      </c>
      <c r="M26" s="1837">
        <f>I26+K26</f>
        <v>19900</v>
      </c>
      <c r="N26" s="1838">
        <f>M26/10000</f>
        <v>1.99</v>
      </c>
      <c r="O26" s="329"/>
      <c r="P26" s="329"/>
      <c r="Q26" s="329"/>
      <c r="R26" s="1796"/>
      <c r="S26" s="411"/>
      <c r="T26" s="1827"/>
      <c r="U26" s="1828"/>
      <c r="V26" s="620"/>
    </row>
    <row r="27" spans="1:22" ht="37.5" customHeight="1">
      <c r="A27" s="1839">
        <v>4</v>
      </c>
      <c r="B27" s="2495" t="s">
        <v>42</v>
      </c>
      <c r="C27" s="2496"/>
      <c r="D27" s="2496"/>
      <c r="E27" s="2496"/>
      <c r="F27" s="2496"/>
      <c r="G27" s="2496"/>
      <c r="H27" s="1836" t="s">
        <v>573</v>
      </c>
      <c r="I27" s="1837">
        <v>20200</v>
      </c>
      <c r="J27" s="1838">
        <f>I27/10000</f>
        <v>2.02</v>
      </c>
      <c r="K27" s="1837">
        <v>2000</v>
      </c>
      <c r="L27" s="1838">
        <f>K27/10000</f>
        <v>0.2</v>
      </c>
      <c r="M27" s="1837">
        <f>I27+K27</f>
        <v>22200</v>
      </c>
      <c r="N27" s="1838">
        <f>M27/10000</f>
        <v>2.22</v>
      </c>
      <c r="O27" s="329"/>
      <c r="P27" s="329"/>
      <c r="Q27" s="329"/>
      <c r="R27" s="1796"/>
      <c r="S27" s="411"/>
      <c r="T27" s="1827"/>
      <c r="U27" s="1828"/>
      <c r="V27" s="620"/>
    </row>
    <row r="28" spans="1:22" ht="32.25" customHeight="1">
      <c r="A28" s="1840">
        <v>5</v>
      </c>
      <c r="B28" s="1841" t="s">
        <v>43</v>
      </c>
      <c r="C28" s="1613"/>
      <c r="D28" s="1613"/>
      <c r="E28" s="1613"/>
      <c r="F28" s="1613"/>
      <c r="G28" s="1613"/>
      <c r="H28" s="1806" t="s">
        <v>573</v>
      </c>
      <c r="I28" s="1842">
        <v>20200</v>
      </c>
      <c r="J28" s="1843">
        <f>I28/10000</f>
        <v>2.02</v>
      </c>
      <c r="K28" s="1842">
        <v>2000</v>
      </c>
      <c r="L28" s="1843">
        <f>K28/10000</f>
        <v>0.2</v>
      </c>
      <c r="M28" s="1842">
        <f>I28+K28</f>
        <v>22200</v>
      </c>
      <c r="N28" s="1843">
        <f>M28/10000</f>
        <v>2.22</v>
      </c>
      <c r="O28" s="329"/>
      <c r="P28" s="329"/>
      <c r="Q28" s="329"/>
      <c r="R28" s="1796"/>
      <c r="S28" s="330"/>
      <c r="T28" s="1827"/>
      <c r="U28" s="1828"/>
      <c r="V28" s="620"/>
    </row>
    <row r="29" spans="1:22" ht="12.75">
      <c r="A29" s="1844"/>
      <c r="B29" s="1844"/>
      <c r="C29" s="1845"/>
      <c r="D29" s="1845"/>
      <c r="E29" s="1845"/>
      <c r="F29" s="1845"/>
      <c r="G29" s="1845"/>
      <c r="H29" s="1846"/>
      <c r="I29" s="1844"/>
      <c r="J29" s="1846"/>
      <c r="K29" s="1844"/>
      <c r="L29" s="1846"/>
      <c r="M29" s="1844"/>
      <c r="N29" s="1846"/>
      <c r="O29" s="329"/>
      <c r="P29" s="329"/>
      <c r="Q29" s="329"/>
      <c r="R29" s="1796"/>
      <c r="S29" s="329"/>
      <c r="T29" s="329"/>
      <c r="U29" s="329"/>
      <c r="V29" s="620"/>
    </row>
    <row r="30" spans="1:22" ht="12.75">
      <c r="A30" s="1847"/>
      <c r="B30" s="1847"/>
      <c r="C30" s="1847"/>
      <c r="D30" s="1847"/>
      <c r="E30" s="1847"/>
      <c r="F30" s="1847"/>
      <c r="G30" s="1847"/>
      <c r="H30" s="1847"/>
      <c r="I30" s="1847"/>
      <c r="J30" s="1847"/>
      <c r="K30" s="329"/>
      <c r="L30" s="329"/>
      <c r="M30" s="329"/>
      <c r="N30" s="329"/>
      <c r="O30" s="329"/>
      <c r="P30" s="329"/>
      <c r="Q30" s="329"/>
      <c r="R30" s="1796"/>
      <c r="S30" s="329"/>
      <c r="T30" s="329"/>
      <c r="U30" s="329"/>
      <c r="V30" s="620"/>
    </row>
    <row r="31" spans="1:22" ht="12.75">
      <c r="A31" s="1847"/>
      <c r="B31" s="1847"/>
      <c r="C31" s="1847"/>
      <c r="D31" s="1847"/>
      <c r="E31" s="1847"/>
      <c r="F31" s="1847"/>
      <c r="G31" s="1847"/>
      <c r="H31" s="1847"/>
      <c r="I31" s="1847"/>
      <c r="J31" s="1847"/>
      <c r="K31" s="329"/>
      <c r="L31" s="329"/>
      <c r="M31" s="329"/>
      <c r="N31" s="329"/>
      <c r="O31" s="329"/>
      <c r="P31" s="329"/>
      <c r="Q31" s="329"/>
      <c r="R31" s="1796"/>
      <c r="S31" s="329"/>
      <c r="T31" s="329"/>
      <c r="U31" s="329"/>
      <c r="V31" s="620"/>
    </row>
    <row r="32" spans="1:22" ht="15.75">
      <c r="A32" s="1848" t="s">
        <v>391</v>
      </c>
      <c r="B32" s="1848"/>
      <c r="C32" s="1848"/>
      <c r="D32" s="1848"/>
      <c r="E32" s="1848"/>
      <c r="F32" s="1848"/>
      <c r="G32" s="1848"/>
      <c r="H32" s="1848"/>
      <c r="I32" s="1848"/>
      <c r="J32" s="1848"/>
      <c r="K32" s="1849"/>
      <c r="L32" s="1849" t="str">
        <f>манипуляции!M44</f>
        <v>М.В. Ровгач</v>
      </c>
      <c r="M32" s="1849"/>
      <c r="N32" s="329"/>
      <c r="O32" s="329"/>
      <c r="P32" s="329"/>
      <c r="Q32" s="329"/>
      <c r="R32" s="1796"/>
      <c r="S32" s="329"/>
      <c r="T32" s="329"/>
      <c r="U32" s="329"/>
      <c r="V32" s="620"/>
    </row>
    <row r="33" spans="1:22" ht="15.75">
      <c r="A33" s="1848"/>
      <c r="B33" s="1848"/>
      <c r="C33" s="1848"/>
      <c r="D33" s="1848"/>
      <c r="E33" s="1848"/>
      <c r="F33" s="1848"/>
      <c r="G33" s="1848"/>
      <c r="H33" s="1848"/>
      <c r="I33" s="1848"/>
      <c r="J33" s="1848"/>
      <c r="K33" s="1849"/>
      <c r="L33" s="1849"/>
      <c r="M33" s="1849"/>
      <c r="N33" s="329"/>
      <c r="O33" s="329"/>
      <c r="P33" s="329"/>
      <c r="Q33" s="329"/>
      <c r="R33" s="1796"/>
      <c r="S33" s="329"/>
      <c r="T33" s="329"/>
      <c r="U33" s="329"/>
      <c r="V33" s="620"/>
    </row>
    <row r="34" spans="1:22" ht="15.75">
      <c r="A34" s="1848"/>
      <c r="B34" s="1848"/>
      <c r="C34" s="1848"/>
      <c r="D34" s="1848"/>
      <c r="E34" s="1848"/>
      <c r="F34" s="1848"/>
      <c r="G34" s="1848"/>
      <c r="H34" s="1848"/>
      <c r="I34" s="1848"/>
      <c r="J34" s="1848"/>
      <c r="K34" s="1849"/>
      <c r="L34" s="1849"/>
      <c r="M34" s="1849"/>
      <c r="N34" s="329"/>
      <c r="O34" s="329"/>
      <c r="P34" s="329"/>
      <c r="Q34" s="329"/>
      <c r="R34" s="1796"/>
      <c r="S34" s="329"/>
      <c r="T34" s="329"/>
      <c r="U34" s="329"/>
      <c r="V34" s="620"/>
    </row>
    <row r="35" spans="1:22" ht="15.75">
      <c r="A35" s="1848" t="s">
        <v>152</v>
      </c>
      <c r="B35" s="1848"/>
      <c r="C35" s="1848"/>
      <c r="D35" s="1848"/>
      <c r="E35" s="1848"/>
      <c r="F35" s="1848"/>
      <c r="G35" s="1848"/>
      <c r="H35" s="1848"/>
      <c r="I35" s="1848"/>
      <c r="J35" s="1848"/>
      <c r="K35" s="1849"/>
      <c r="L35" s="1849" t="s">
        <v>176</v>
      </c>
      <c r="M35" s="1849"/>
      <c r="N35" s="329"/>
      <c r="O35" s="329"/>
      <c r="P35" s="329"/>
      <c r="Q35" s="329"/>
      <c r="R35" s="1796"/>
      <c r="S35" s="329"/>
      <c r="T35" s="329"/>
      <c r="U35" s="329"/>
      <c r="V35" s="620"/>
    </row>
    <row r="36" spans="1:22" ht="15.75">
      <c r="A36" s="1848"/>
      <c r="B36" s="1848"/>
      <c r="C36" s="1848"/>
      <c r="D36" s="1848"/>
      <c r="E36" s="1848"/>
      <c r="F36" s="1848"/>
      <c r="G36" s="1848"/>
      <c r="H36" s="1848"/>
      <c r="I36" s="1848"/>
      <c r="J36" s="1848"/>
      <c r="K36" s="1849"/>
      <c r="L36" s="1849"/>
      <c r="M36" s="1849"/>
      <c r="N36" s="329"/>
      <c r="O36" s="329"/>
      <c r="P36" s="329"/>
      <c r="Q36" s="329"/>
      <c r="R36" s="1796"/>
      <c r="S36" s="329"/>
      <c r="T36" s="329"/>
      <c r="U36" s="329"/>
      <c r="V36" s="620"/>
    </row>
    <row r="37" spans="1:22" ht="12.75">
      <c r="A37" s="1847"/>
      <c r="B37" s="1847"/>
      <c r="C37" s="1847"/>
      <c r="D37" s="1847"/>
      <c r="E37" s="1847"/>
      <c r="F37" s="1847"/>
      <c r="G37" s="1847"/>
      <c r="H37" s="1847"/>
      <c r="I37" s="1847"/>
      <c r="J37" s="1847"/>
      <c r="K37" s="329"/>
      <c r="L37" s="329"/>
      <c r="M37" s="329"/>
      <c r="N37" s="329"/>
      <c r="O37" s="329"/>
      <c r="P37" s="329"/>
      <c r="Q37" s="329"/>
      <c r="R37" s="1796"/>
      <c r="S37" s="329"/>
      <c r="T37" s="329"/>
      <c r="U37" s="329"/>
      <c r="V37" s="620"/>
    </row>
    <row r="38" spans="1:22" s="1851" customFormat="1" ht="15.75">
      <c r="A38" s="409" t="s">
        <v>168</v>
      </c>
      <c r="B38" s="409"/>
      <c r="C38" s="409"/>
      <c r="D38" s="409"/>
      <c r="E38" s="409"/>
      <c r="F38" s="409"/>
      <c r="G38" s="409"/>
      <c r="H38" s="409"/>
      <c r="I38" s="409"/>
      <c r="J38" s="409"/>
      <c r="K38" s="127"/>
      <c r="L38" s="409" t="s">
        <v>830</v>
      </c>
      <c r="M38" s="409"/>
      <c r="N38" s="127"/>
      <c r="O38" s="127"/>
      <c r="P38" s="127"/>
      <c r="Q38" s="127"/>
      <c r="R38" s="1850"/>
      <c r="S38" s="127"/>
      <c r="T38" s="127"/>
      <c r="U38" s="127"/>
      <c r="V38" s="612"/>
    </row>
    <row r="39" spans="1:22" s="1855" customFormat="1" ht="11.25">
      <c r="A39" s="1205"/>
      <c r="B39" s="1205"/>
      <c r="C39" s="1205"/>
      <c r="D39" s="1205"/>
      <c r="E39" s="1205"/>
      <c r="F39" s="1205"/>
      <c r="G39" s="1205"/>
      <c r="H39" s="1205"/>
      <c r="I39" s="1205"/>
      <c r="J39" s="1205"/>
      <c r="K39" s="1852"/>
      <c r="L39" s="1205"/>
      <c r="M39" s="1205"/>
      <c r="N39" s="1852"/>
      <c r="O39" s="1852"/>
      <c r="P39" s="1852"/>
      <c r="Q39" s="1852"/>
      <c r="R39" s="1853"/>
      <c r="S39" s="1852"/>
      <c r="T39" s="1852"/>
      <c r="U39" s="1852"/>
      <c r="V39" s="1854"/>
    </row>
    <row r="40" spans="1:22" s="1855" customFormat="1" ht="11.25">
      <c r="A40" s="1205"/>
      <c r="B40" s="1205"/>
      <c r="C40" s="1205"/>
      <c r="D40" s="1205"/>
      <c r="E40" s="1205"/>
      <c r="F40" s="1205"/>
      <c r="G40" s="1205"/>
      <c r="H40" s="1205"/>
      <c r="I40" s="1205"/>
      <c r="J40" s="1205"/>
      <c r="K40" s="1852"/>
      <c r="L40" s="1205"/>
      <c r="M40" s="1205"/>
      <c r="N40" s="1852"/>
      <c r="O40" s="1852"/>
      <c r="P40" s="1852"/>
      <c r="Q40" s="1852"/>
      <c r="R40" s="1853"/>
      <c r="S40" s="1852"/>
      <c r="T40" s="1852"/>
      <c r="U40" s="1852"/>
      <c r="V40" s="1854"/>
    </row>
    <row r="41" spans="1:22" s="1855" customFormat="1" ht="11.25">
      <c r="A41" s="1205"/>
      <c r="B41" s="1205"/>
      <c r="C41" s="1205"/>
      <c r="D41" s="1205"/>
      <c r="E41" s="1205"/>
      <c r="F41" s="1205"/>
      <c r="G41" s="1205"/>
      <c r="H41" s="1205"/>
      <c r="I41" s="1205"/>
      <c r="J41" s="1205"/>
      <c r="K41" s="1852"/>
      <c r="L41" s="1205"/>
      <c r="M41" s="1205"/>
      <c r="N41" s="1852"/>
      <c r="O41" s="1852"/>
      <c r="P41" s="1852"/>
      <c r="Q41" s="1852"/>
      <c r="R41" s="1853"/>
      <c r="S41" s="1852"/>
      <c r="T41" s="1852"/>
      <c r="U41" s="1852"/>
      <c r="V41" s="1854"/>
    </row>
    <row r="42" spans="1:22" s="1851" customFormat="1" ht="15.75">
      <c r="A42" s="409" t="s">
        <v>831</v>
      </c>
      <c r="B42" s="409"/>
      <c r="C42" s="409"/>
      <c r="D42" s="409"/>
      <c r="E42" s="409"/>
      <c r="F42" s="409"/>
      <c r="G42" s="409"/>
      <c r="H42" s="409"/>
      <c r="I42" s="409"/>
      <c r="J42" s="409"/>
      <c r="K42" s="127"/>
      <c r="L42" s="409" t="s">
        <v>832</v>
      </c>
      <c r="M42" s="409"/>
      <c r="N42" s="127"/>
      <c r="O42" s="127"/>
      <c r="P42" s="127"/>
      <c r="Q42" s="329"/>
      <c r="R42" s="1796"/>
      <c r="S42" s="329"/>
      <c r="T42" s="329"/>
      <c r="U42" s="329"/>
      <c r="V42" s="612"/>
    </row>
    <row r="43" spans="1:22" s="1851" customFormat="1" ht="15.75">
      <c r="A43" s="409"/>
      <c r="B43" s="409"/>
      <c r="C43" s="409"/>
      <c r="D43" s="409"/>
      <c r="E43" s="409"/>
      <c r="F43" s="409"/>
      <c r="G43" s="409"/>
      <c r="H43" s="409"/>
      <c r="I43" s="409"/>
      <c r="J43" s="409"/>
      <c r="K43" s="127"/>
      <c r="L43" s="409"/>
      <c r="M43" s="409"/>
      <c r="N43" s="127"/>
      <c r="O43" s="127"/>
      <c r="P43" s="127"/>
      <c r="Q43" s="329"/>
      <c r="R43" s="1796"/>
      <c r="S43" s="329"/>
      <c r="T43" s="329"/>
      <c r="U43" s="329"/>
      <c r="V43" s="612"/>
    </row>
    <row r="44" spans="1:22" s="1851" customFormat="1" ht="15.75">
      <c r="A44" s="409"/>
      <c r="B44" s="409"/>
      <c r="C44" s="409"/>
      <c r="D44" s="409"/>
      <c r="E44" s="409"/>
      <c r="F44" s="409"/>
      <c r="G44" s="409"/>
      <c r="H44" s="409"/>
      <c r="I44" s="409"/>
      <c r="J44" s="409"/>
      <c r="K44" s="127"/>
      <c r="L44" s="409"/>
      <c r="M44" s="409"/>
      <c r="N44" s="127"/>
      <c r="O44" s="127"/>
      <c r="P44" s="127"/>
      <c r="Q44" s="329"/>
      <c r="R44" s="1796"/>
      <c r="S44" s="329"/>
      <c r="T44" s="329"/>
      <c r="U44" s="329"/>
      <c r="V44" s="612"/>
    </row>
    <row r="45" spans="1:22" s="1851" customFormat="1" ht="15.75">
      <c r="A45" s="409"/>
      <c r="B45" s="409"/>
      <c r="C45" s="409"/>
      <c r="D45" s="409"/>
      <c r="E45" s="409"/>
      <c r="F45" s="409"/>
      <c r="G45" s="409"/>
      <c r="H45" s="409"/>
      <c r="I45" s="409"/>
      <c r="J45" s="409"/>
      <c r="K45" s="127"/>
      <c r="L45" s="409"/>
      <c r="M45" s="409"/>
      <c r="N45" s="127"/>
      <c r="O45" s="127"/>
      <c r="P45" s="127"/>
      <c r="Q45" s="329"/>
      <c r="R45" s="1796"/>
      <c r="S45" s="329"/>
      <c r="T45" s="329"/>
      <c r="U45" s="329"/>
      <c r="V45" s="612"/>
    </row>
    <row r="46" spans="1:22" s="1851" customFormat="1" ht="15.75">
      <c r="A46" s="409"/>
      <c r="B46" s="409"/>
      <c r="C46" s="409"/>
      <c r="D46" s="409"/>
      <c r="E46" s="409"/>
      <c r="F46" s="409"/>
      <c r="G46" s="409"/>
      <c r="H46" s="409"/>
      <c r="I46" s="409"/>
      <c r="J46" s="409"/>
      <c r="K46" s="127"/>
      <c r="L46" s="409"/>
      <c r="M46" s="409"/>
      <c r="N46" s="127"/>
      <c r="O46" s="127"/>
      <c r="P46" s="127"/>
      <c r="Q46" s="329"/>
      <c r="R46" s="1796"/>
      <c r="S46" s="329"/>
      <c r="T46" s="329"/>
      <c r="U46" s="329"/>
      <c r="V46" s="612"/>
    </row>
    <row r="47" spans="1:22" s="1851" customFormat="1" ht="15.75">
      <c r="A47" s="409"/>
      <c r="B47" s="409"/>
      <c r="C47" s="409"/>
      <c r="D47" s="409"/>
      <c r="E47" s="409"/>
      <c r="F47" s="409"/>
      <c r="G47" s="409"/>
      <c r="H47" s="409"/>
      <c r="I47" s="409"/>
      <c r="J47" s="409"/>
      <c r="K47" s="127"/>
      <c r="L47" s="409"/>
      <c r="M47" s="409"/>
      <c r="N47" s="127"/>
      <c r="O47" s="127"/>
      <c r="P47" s="127"/>
      <c r="Q47" s="329"/>
      <c r="R47" s="1796"/>
      <c r="S47" s="329"/>
      <c r="T47" s="329"/>
      <c r="U47" s="329"/>
      <c r="V47" s="612"/>
    </row>
    <row r="48" spans="1:22" s="1851" customFormat="1" ht="15.75">
      <c r="A48" s="409"/>
      <c r="B48" s="409"/>
      <c r="C48" s="409"/>
      <c r="D48" s="409"/>
      <c r="E48" s="409"/>
      <c r="F48" s="409"/>
      <c r="G48" s="409"/>
      <c r="H48" s="409"/>
      <c r="I48" s="409"/>
      <c r="J48" s="409"/>
      <c r="K48" s="127"/>
      <c r="L48" s="409"/>
      <c r="M48" s="409"/>
      <c r="N48" s="127"/>
      <c r="O48" s="127"/>
      <c r="P48" s="127"/>
      <c r="Q48" s="329"/>
      <c r="R48" s="1796"/>
      <c r="S48" s="329"/>
      <c r="T48" s="329"/>
      <c r="U48" s="329"/>
      <c r="V48" s="612"/>
    </row>
    <row r="49" spans="1:22" s="1859" customFormat="1" ht="20.25">
      <c r="A49" s="1856"/>
      <c r="B49" s="1856"/>
      <c r="C49" s="1856"/>
      <c r="D49" s="1856"/>
      <c r="E49" s="1856"/>
      <c r="F49" s="1856"/>
      <c r="G49" s="1856"/>
      <c r="H49" s="1856"/>
      <c r="I49" s="1856"/>
      <c r="J49" s="1856"/>
      <c r="K49" s="1857"/>
      <c r="L49" s="1857"/>
      <c r="M49" s="1857"/>
      <c r="N49" s="1857"/>
      <c r="O49" s="1857"/>
      <c r="P49" s="1857"/>
      <c r="Q49" s="127"/>
      <c r="R49" s="1850"/>
      <c r="S49" s="127"/>
      <c r="T49" s="127"/>
      <c r="U49" s="127"/>
      <c r="V49" s="1858"/>
    </row>
    <row r="51" spans="1:14" ht="15.75">
      <c r="A51" s="1784"/>
      <c r="B51" s="1784"/>
      <c r="C51" s="1784"/>
      <c r="D51" s="1784"/>
      <c r="E51" s="1784"/>
      <c r="F51" s="1784"/>
      <c r="G51" s="1784"/>
      <c r="H51" s="409"/>
      <c r="I51" s="409"/>
      <c r="J51" s="1784"/>
      <c r="K51" s="1784"/>
      <c r="L51" s="409" t="s">
        <v>436</v>
      </c>
      <c r="M51" s="409"/>
      <c r="N51" s="409"/>
    </row>
    <row r="52" spans="1:14" ht="15.75">
      <c r="A52" s="1784"/>
      <c r="B52" s="1784"/>
      <c r="C52" s="1784"/>
      <c r="D52" s="1784"/>
      <c r="E52" s="1784"/>
      <c r="F52" s="1784"/>
      <c r="G52" s="1784"/>
      <c r="H52" s="1199"/>
      <c r="I52" s="1788"/>
      <c r="J52" s="1784"/>
      <c r="K52" s="1784"/>
      <c r="L52" s="1199"/>
      <c r="M52" s="1788"/>
      <c r="N52" s="1202" t="s">
        <v>437</v>
      </c>
    </row>
    <row r="53" spans="1:14" ht="15.75">
      <c r="A53" s="1784"/>
      <c r="B53" s="1784"/>
      <c r="C53" s="1784"/>
      <c r="D53" s="1784"/>
      <c r="E53" s="1784"/>
      <c r="F53" s="1784"/>
      <c r="G53" s="1784"/>
      <c r="H53" s="1199"/>
      <c r="I53" s="1199"/>
      <c r="J53" s="1784"/>
      <c r="K53" s="1784"/>
      <c r="L53" s="1199"/>
      <c r="M53" s="1199"/>
      <c r="N53" s="410" t="str">
        <f>N3</f>
        <v>___________Г.М.Моисеенкова</v>
      </c>
    </row>
    <row r="54" spans="1:14" ht="15.75">
      <c r="A54" s="1784"/>
      <c r="B54" s="1784"/>
      <c r="C54" s="1784"/>
      <c r="D54" s="1784"/>
      <c r="E54" s="1784"/>
      <c r="F54" s="1784"/>
      <c r="G54" s="1784"/>
      <c r="H54" s="376"/>
      <c r="I54" s="376"/>
      <c r="J54" s="1902">
        <f>J4</f>
        <v>1</v>
      </c>
      <c r="K54" s="1784"/>
      <c r="L54" s="376" t="str">
        <f>L4</f>
        <v>июля</v>
      </c>
      <c r="M54" s="376" t="str">
        <f>M4</f>
        <v>июля</v>
      </c>
      <c r="N54" s="376" t="str">
        <f>N4</f>
        <v>2017 г.</v>
      </c>
    </row>
    <row r="55" spans="1:10" ht="9.75" customHeight="1">
      <c r="A55" s="1199"/>
      <c r="B55" s="1199"/>
      <c r="C55" s="1199"/>
      <c r="D55" s="1199"/>
      <c r="E55" s="1199"/>
      <c r="F55" s="1199"/>
      <c r="G55" s="1199"/>
      <c r="H55" s="1204"/>
      <c r="I55" s="1204"/>
      <c r="J55" s="1789"/>
    </row>
    <row r="56" spans="1:10" ht="9.75" customHeight="1">
      <c r="A56" s="1199"/>
      <c r="B56" s="1199"/>
      <c r="C56" s="1199"/>
      <c r="D56" s="1199"/>
      <c r="E56" s="1199"/>
      <c r="F56" s="1199"/>
      <c r="G56" s="1199"/>
      <c r="H56" s="1204"/>
      <c r="I56" s="1204"/>
      <c r="J56" s="1789"/>
    </row>
    <row r="57" spans="1:10" ht="9.75" customHeight="1">
      <c r="A57" s="1199"/>
      <c r="B57" s="1199"/>
      <c r="C57" s="1199"/>
      <c r="D57" s="1199"/>
      <c r="E57" s="1199"/>
      <c r="F57" s="1199"/>
      <c r="G57" s="1199"/>
      <c r="H57" s="1204"/>
      <c r="I57" s="1204"/>
      <c r="J57" s="1789"/>
    </row>
    <row r="58" spans="1:14" ht="18" customHeight="1">
      <c r="A58" s="2481" t="s">
        <v>439</v>
      </c>
      <c r="B58" s="2481"/>
      <c r="C58" s="2481"/>
      <c r="D58" s="2481"/>
      <c r="E58" s="2481"/>
      <c r="F58" s="2481"/>
      <c r="G58" s="2481"/>
      <c r="H58" s="2481"/>
      <c r="I58" s="2481"/>
      <c r="J58" s="2481"/>
      <c r="K58" s="2481"/>
      <c r="L58" s="2481"/>
      <c r="M58" s="2481"/>
      <c r="N58" s="2481"/>
    </row>
    <row r="59" spans="1:14" ht="18.75" customHeight="1">
      <c r="A59" s="2482" t="s">
        <v>28</v>
      </c>
      <c r="B59" s="2482"/>
      <c r="C59" s="2482"/>
      <c r="D59" s="2482"/>
      <c r="E59" s="2482"/>
      <c r="F59" s="2482"/>
      <c r="G59" s="2482"/>
      <c r="H59" s="2482"/>
      <c r="I59" s="2482"/>
      <c r="J59" s="2482"/>
      <c r="K59" s="2482"/>
      <c r="L59" s="2482"/>
      <c r="M59" s="2482"/>
      <c r="N59" s="2482"/>
    </row>
    <row r="60" spans="1:14" ht="18.75" customHeight="1">
      <c r="A60" s="2483" t="s">
        <v>44</v>
      </c>
      <c r="B60" s="2483"/>
      <c r="C60" s="2483"/>
      <c r="D60" s="2483"/>
      <c r="E60" s="2483"/>
      <c r="F60" s="2483"/>
      <c r="G60" s="2483"/>
      <c r="H60" s="2483"/>
      <c r="I60" s="2483"/>
      <c r="J60" s="2483"/>
      <c r="K60" s="2483"/>
      <c r="L60" s="2483"/>
      <c r="M60" s="2483"/>
      <c r="N60" s="2483"/>
    </row>
    <row r="61" spans="1:9" ht="12.75">
      <c r="A61" s="1212"/>
      <c r="B61" s="1800" t="s">
        <v>441</v>
      </c>
      <c r="C61" s="1890" t="str">
        <f>C11</f>
        <v>01.07.2017г.</v>
      </c>
      <c r="D61" s="1801"/>
      <c r="E61" s="1212"/>
      <c r="F61" s="1213"/>
      <c r="G61" s="1212"/>
      <c r="H61" s="1212"/>
      <c r="I61" s="1212"/>
    </row>
    <row r="62" spans="1:9" ht="12.75">
      <c r="A62" s="1212"/>
      <c r="B62" s="1800"/>
      <c r="C62" s="2484"/>
      <c r="D62" s="2484"/>
      <c r="E62" s="1212"/>
      <c r="F62" s="1213"/>
      <c r="G62" s="1212"/>
      <c r="H62" s="1212"/>
      <c r="I62" s="1212"/>
    </row>
    <row r="63" spans="1:14" ht="15">
      <c r="A63" s="1783" t="s">
        <v>444</v>
      </c>
      <c r="B63" s="1802"/>
      <c r="C63" s="1803"/>
      <c r="D63" s="1803"/>
      <c r="E63" s="361"/>
      <c r="F63" s="1803"/>
      <c r="G63" s="1803"/>
      <c r="H63" s="1804" t="s">
        <v>844</v>
      </c>
      <c r="I63" s="2477" t="s">
        <v>447</v>
      </c>
      <c r="J63" s="2478"/>
      <c r="K63" s="2477" t="s">
        <v>29</v>
      </c>
      <c r="L63" s="2478"/>
      <c r="M63" s="2479" t="s">
        <v>30</v>
      </c>
      <c r="N63" s="2480"/>
    </row>
    <row r="64" spans="1:14" ht="15" customHeight="1">
      <c r="A64" s="1805" t="s">
        <v>450</v>
      </c>
      <c r="B64" s="388"/>
      <c r="C64" s="329"/>
      <c r="D64" s="329"/>
      <c r="E64" s="1240" t="s">
        <v>31</v>
      </c>
      <c r="F64" s="329"/>
      <c r="G64" s="329" t="s">
        <v>32</v>
      </c>
      <c r="H64" s="2485" t="s">
        <v>33</v>
      </c>
      <c r="I64" s="2486" t="s">
        <v>457</v>
      </c>
      <c r="J64" s="2487"/>
      <c r="K64" s="2486" t="s">
        <v>457</v>
      </c>
      <c r="L64" s="2487"/>
      <c r="M64" s="2486" t="s">
        <v>457</v>
      </c>
      <c r="N64" s="2487"/>
    </row>
    <row r="65" spans="1:14" ht="12.75" customHeight="1" hidden="1">
      <c r="A65" s="1797"/>
      <c r="B65" s="388"/>
      <c r="C65" s="329"/>
      <c r="D65" s="329"/>
      <c r="E65" s="330"/>
      <c r="F65" s="329"/>
      <c r="G65" s="329"/>
      <c r="H65" s="2485"/>
      <c r="I65" s="2488" t="s">
        <v>34</v>
      </c>
      <c r="J65" s="2491" t="s">
        <v>35</v>
      </c>
      <c r="K65" s="2488" t="s">
        <v>34</v>
      </c>
      <c r="L65" s="2491" t="s">
        <v>35</v>
      </c>
      <c r="M65" s="2488" t="s">
        <v>34</v>
      </c>
      <c r="N65" s="2491" t="s">
        <v>35</v>
      </c>
    </row>
    <row r="66" spans="1:14" ht="12.75" customHeight="1" hidden="1">
      <c r="A66" s="1805"/>
      <c r="B66" s="388"/>
      <c r="C66" s="329"/>
      <c r="D66" s="329"/>
      <c r="E66" s="330"/>
      <c r="F66" s="329"/>
      <c r="G66" s="329"/>
      <c r="H66" s="370"/>
      <c r="I66" s="2489"/>
      <c r="J66" s="2485"/>
      <c r="K66" s="2489"/>
      <c r="L66" s="2485"/>
      <c r="M66" s="2489"/>
      <c r="N66" s="2485"/>
    </row>
    <row r="67" spans="1:14" ht="21" customHeight="1" hidden="1">
      <c r="A67" s="1807"/>
      <c r="B67" s="395"/>
      <c r="C67" s="396"/>
      <c r="D67" s="396"/>
      <c r="E67" s="396"/>
      <c r="F67" s="396"/>
      <c r="G67" s="396"/>
      <c r="H67" s="1808" t="s">
        <v>313</v>
      </c>
      <c r="I67" s="2490"/>
      <c r="J67" s="2492"/>
      <c r="K67" s="2490"/>
      <c r="L67" s="2492"/>
      <c r="M67" s="2490"/>
      <c r="N67" s="2492"/>
    </row>
    <row r="68" spans="1:14" ht="15.75">
      <c r="A68" s="1805"/>
      <c r="B68" s="1824"/>
      <c r="C68" s="329"/>
      <c r="D68" s="329"/>
      <c r="E68" s="329"/>
      <c r="F68" s="329"/>
      <c r="G68" s="329"/>
      <c r="H68" s="369"/>
      <c r="I68" s="1825"/>
      <c r="J68" s="1826"/>
      <c r="K68" s="1825"/>
      <c r="L68" s="1826"/>
      <c r="M68" s="1825"/>
      <c r="N68" s="1826"/>
    </row>
    <row r="69" spans="1:14" ht="17.25">
      <c r="A69" s="1805"/>
      <c r="B69" s="1829" t="s">
        <v>38</v>
      </c>
      <c r="C69" s="1830"/>
      <c r="D69" s="1830"/>
      <c r="E69" s="1830"/>
      <c r="F69" s="1830"/>
      <c r="G69" s="1830"/>
      <c r="H69" s="369"/>
      <c r="I69" s="1825"/>
      <c r="J69" s="1826"/>
      <c r="K69" s="1825"/>
      <c r="L69" s="1826"/>
      <c r="M69" s="1825"/>
      <c r="N69" s="1826"/>
    </row>
    <row r="70" spans="1:14" ht="84.75" customHeight="1">
      <c r="A70" s="1831">
        <v>1</v>
      </c>
      <c r="B70" s="2493" t="s">
        <v>39</v>
      </c>
      <c r="C70" s="2494"/>
      <c r="D70" s="2494"/>
      <c r="E70" s="2494"/>
      <c r="F70" s="2494"/>
      <c r="G70" s="2494"/>
      <c r="H70" s="1832" t="s">
        <v>573</v>
      </c>
      <c r="I70" s="1833">
        <v>61300</v>
      </c>
      <c r="J70" s="1834">
        <f>I70/10000</f>
        <v>6.13</v>
      </c>
      <c r="K70" s="1833">
        <v>2000</v>
      </c>
      <c r="L70" s="1834">
        <f>K70/10000</f>
        <v>0.2</v>
      </c>
      <c r="M70" s="1833">
        <f>I70+K70</f>
        <v>63300</v>
      </c>
      <c r="N70" s="1834">
        <f>M70/10000</f>
        <v>6.33</v>
      </c>
    </row>
    <row r="71" spans="1:14" ht="107.25" customHeight="1">
      <c r="A71" s="1835">
        <v>2</v>
      </c>
      <c r="B71" s="2495" t="s">
        <v>40</v>
      </c>
      <c r="C71" s="2496"/>
      <c r="D71" s="2496"/>
      <c r="E71" s="2496"/>
      <c r="F71" s="2496"/>
      <c r="G71" s="2496"/>
      <c r="H71" s="1836" t="s">
        <v>573</v>
      </c>
      <c r="I71" s="1837">
        <v>61300</v>
      </c>
      <c r="J71" s="1838">
        <f>I71/10000</f>
        <v>6.13</v>
      </c>
      <c r="K71" s="1837">
        <v>2000</v>
      </c>
      <c r="L71" s="1838">
        <f>K71/10000</f>
        <v>0.2</v>
      </c>
      <c r="M71" s="1837">
        <f>I71+K71</f>
        <v>63300</v>
      </c>
      <c r="N71" s="1838">
        <f>M71/10000</f>
        <v>6.33</v>
      </c>
    </row>
    <row r="72" spans="1:14" ht="43.5" customHeight="1">
      <c r="A72" s="1839">
        <v>3</v>
      </c>
      <c r="B72" s="2495" t="s">
        <v>41</v>
      </c>
      <c r="C72" s="2496"/>
      <c r="D72" s="2496"/>
      <c r="E72" s="2496"/>
      <c r="F72" s="2496"/>
      <c r="G72" s="2496"/>
      <c r="H72" s="1836" t="s">
        <v>573</v>
      </c>
      <c r="I72" s="1837">
        <v>48300</v>
      </c>
      <c r="J72" s="1838">
        <f>I72/10000</f>
        <v>4.83</v>
      </c>
      <c r="K72" s="1837">
        <v>2000</v>
      </c>
      <c r="L72" s="1838">
        <f>K72/10000</f>
        <v>0.2</v>
      </c>
      <c r="M72" s="1837">
        <f>I72+K72</f>
        <v>50300</v>
      </c>
      <c r="N72" s="1838">
        <f>M72/10000</f>
        <v>5.03</v>
      </c>
    </row>
    <row r="73" spans="1:14" ht="59.25" customHeight="1">
      <c r="A73" s="1839">
        <v>4</v>
      </c>
      <c r="B73" s="2495" t="s">
        <v>42</v>
      </c>
      <c r="C73" s="2496"/>
      <c r="D73" s="2496"/>
      <c r="E73" s="2496"/>
      <c r="F73" s="2496"/>
      <c r="G73" s="2496"/>
      <c r="H73" s="1836" t="s">
        <v>573</v>
      </c>
      <c r="I73" s="1837">
        <v>54300</v>
      </c>
      <c r="J73" s="1838">
        <f>I73/10000</f>
        <v>5.43</v>
      </c>
      <c r="K73" s="1837">
        <v>2000</v>
      </c>
      <c r="L73" s="1838">
        <f>K73/10000</f>
        <v>0.2</v>
      </c>
      <c r="M73" s="1837">
        <f>I73+K73</f>
        <v>56300</v>
      </c>
      <c r="N73" s="1838">
        <f>M73/10000</f>
        <v>5.63</v>
      </c>
    </row>
    <row r="74" spans="1:14" ht="31.5" customHeight="1">
      <c r="A74" s="1840">
        <v>5</v>
      </c>
      <c r="B74" s="1841" t="s">
        <v>43</v>
      </c>
      <c r="C74" s="1613"/>
      <c r="D74" s="1613"/>
      <c r="E74" s="1613"/>
      <c r="F74" s="1613"/>
      <c r="G74" s="1613"/>
      <c r="H74" s="2485" t="s">
        <v>573</v>
      </c>
      <c r="I74" s="1842">
        <v>54300</v>
      </c>
      <c r="J74" s="1843">
        <f>I74/10000</f>
        <v>5.43</v>
      </c>
      <c r="K74" s="1842">
        <v>2000</v>
      </c>
      <c r="L74" s="1843">
        <f>K74/10000</f>
        <v>0.2</v>
      </c>
      <c r="M74" s="1842">
        <f>I74+K74</f>
        <v>56300</v>
      </c>
      <c r="N74" s="1843">
        <f>M74/10000</f>
        <v>5.63</v>
      </c>
    </row>
    <row r="75" spans="1:14" ht="12.75">
      <c r="A75" s="1844"/>
      <c r="B75" s="1844"/>
      <c r="C75" s="1845"/>
      <c r="D75" s="1845"/>
      <c r="E75" s="1845"/>
      <c r="F75" s="1845"/>
      <c r="G75" s="1845"/>
      <c r="H75" s="2492"/>
      <c r="I75" s="1844"/>
      <c r="J75" s="1846"/>
      <c r="K75" s="1844"/>
      <c r="L75" s="1846"/>
      <c r="M75" s="1844"/>
      <c r="N75" s="1846"/>
    </row>
    <row r="76" spans="1:10" ht="12.75">
      <c r="A76" s="1847"/>
      <c r="B76" s="1847"/>
      <c r="C76" s="1847"/>
      <c r="D76" s="1847"/>
      <c r="E76" s="1847"/>
      <c r="F76" s="1847"/>
      <c r="G76" s="1847"/>
      <c r="H76" s="1847"/>
      <c r="I76" s="1847"/>
      <c r="J76" s="1847"/>
    </row>
    <row r="77" spans="1:10" ht="12.75">
      <c r="A77" s="1847"/>
      <c r="B77" s="1847"/>
      <c r="C77" s="1847"/>
      <c r="D77" s="1847"/>
      <c r="E77" s="1847"/>
      <c r="F77" s="1847"/>
      <c r="G77" s="1847"/>
      <c r="H77" s="1847"/>
      <c r="I77" s="1847"/>
      <c r="J77" s="1847"/>
    </row>
    <row r="78" spans="1:14" ht="15.75">
      <c r="A78" s="1848" t="s">
        <v>391</v>
      </c>
      <c r="B78" s="1848"/>
      <c r="C78" s="1848"/>
      <c r="D78" s="1848"/>
      <c r="E78" s="1848"/>
      <c r="F78" s="1848"/>
      <c r="G78" s="1848"/>
      <c r="H78" s="1848"/>
      <c r="I78" s="1848"/>
      <c r="J78" s="1848"/>
      <c r="K78" s="1849"/>
      <c r="L78" s="1849" t="str">
        <f>L32</f>
        <v>М.В. Ровгач</v>
      </c>
      <c r="M78" s="1849"/>
      <c r="N78" s="329"/>
    </row>
    <row r="79" spans="1:14" ht="15.75">
      <c r="A79" s="1848"/>
      <c r="B79" s="1848"/>
      <c r="C79" s="1848"/>
      <c r="D79" s="1848"/>
      <c r="E79" s="1848"/>
      <c r="F79" s="1848"/>
      <c r="G79" s="1848"/>
      <c r="H79" s="1848"/>
      <c r="I79" s="1848"/>
      <c r="J79" s="1848"/>
      <c r="K79" s="1849"/>
      <c r="L79" s="1849"/>
      <c r="M79" s="1849"/>
      <c r="N79" s="329"/>
    </row>
    <row r="80" spans="1:14" ht="15.75">
      <c r="A80" s="1848"/>
      <c r="B80" s="1848"/>
      <c r="C80" s="1848"/>
      <c r="D80" s="1848"/>
      <c r="E80" s="1848"/>
      <c r="F80" s="1848"/>
      <c r="G80" s="1848"/>
      <c r="H80" s="1848"/>
      <c r="I80" s="1848"/>
      <c r="J80" s="1848"/>
      <c r="K80" s="1849"/>
      <c r="L80" s="1849"/>
      <c r="M80" s="1849"/>
      <c r="N80" s="329"/>
    </row>
    <row r="81" spans="1:14" ht="15.75">
      <c r="A81" s="1848" t="s">
        <v>152</v>
      </c>
      <c r="B81" s="1848"/>
      <c r="C81" s="1848"/>
      <c r="D81" s="1848"/>
      <c r="E81" s="1848"/>
      <c r="F81" s="1848"/>
      <c r="G81" s="1848"/>
      <c r="H81" s="1848"/>
      <c r="I81" s="1848"/>
      <c r="J81" s="1848"/>
      <c r="K81" s="1849"/>
      <c r="L81" s="1849" t="s">
        <v>176</v>
      </c>
      <c r="M81" s="1849"/>
      <c r="N81" s="329"/>
    </row>
    <row r="82" spans="1:14" ht="15.75">
      <c r="A82" s="1848"/>
      <c r="B82" s="1848"/>
      <c r="C82" s="1848"/>
      <c r="D82" s="1848"/>
      <c r="E82" s="1848"/>
      <c r="F82" s="1848"/>
      <c r="G82" s="1848"/>
      <c r="H82" s="1848"/>
      <c r="I82" s="1848"/>
      <c r="J82" s="1848"/>
      <c r="K82" s="1849"/>
      <c r="L82" s="1849"/>
      <c r="M82" s="1849"/>
      <c r="N82" s="329"/>
    </row>
    <row r="83" spans="1:14" ht="12.75">
      <c r="A83" s="1847"/>
      <c r="B83" s="1847"/>
      <c r="C83" s="1847"/>
      <c r="D83" s="1847"/>
      <c r="E83" s="1847"/>
      <c r="F83" s="1847"/>
      <c r="G83" s="1847"/>
      <c r="H83" s="1847"/>
      <c r="I83" s="1847"/>
      <c r="J83" s="1847"/>
      <c r="K83" s="329"/>
      <c r="L83" s="329"/>
      <c r="M83" s="329"/>
      <c r="N83" s="329"/>
    </row>
    <row r="84" spans="1:14" ht="15.75">
      <c r="A84" s="409" t="s">
        <v>168</v>
      </c>
      <c r="B84" s="409"/>
      <c r="C84" s="409"/>
      <c r="D84" s="409"/>
      <c r="E84" s="409"/>
      <c r="F84" s="409"/>
      <c r="G84" s="409"/>
      <c r="H84" s="409"/>
      <c r="I84" s="409"/>
      <c r="J84" s="409"/>
      <c r="K84" s="127"/>
      <c r="L84" s="409" t="s">
        <v>830</v>
      </c>
      <c r="M84" s="409"/>
      <c r="N84" s="127"/>
    </row>
    <row r="85" spans="1:14" ht="12.75">
      <c r="A85" s="1205"/>
      <c r="B85" s="1205"/>
      <c r="C85" s="1205"/>
      <c r="D85" s="1205"/>
      <c r="E85" s="1205"/>
      <c r="F85" s="1205"/>
      <c r="G85" s="1205"/>
      <c r="H85" s="1205"/>
      <c r="I85" s="1205"/>
      <c r="J85" s="1205"/>
      <c r="K85" s="1852"/>
      <c r="L85" s="1205"/>
      <c r="M85" s="1205"/>
      <c r="N85" s="1852"/>
    </row>
    <row r="86" spans="1:14" ht="12.75">
      <c r="A86" s="1205"/>
      <c r="B86" s="1205"/>
      <c r="C86" s="1205"/>
      <c r="D86" s="1205"/>
      <c r="E86" s="1205"/>
      <c r="F86" s="1205"/>
      <c r="G86" s="1205"/>
      <c r="H86" s="1205"/>
      <c r="I86" s="1205"/>
      <c r="J86" s="1205"/>
      <c r="K86" s="1852"/>
      <c r="L86" s="1205"/>
      <c r="M86" s="1205"/>
      <c r="N86" s="1852"/>
    </row>
    <row r="87" spans="1:14" ht="12.75">
      <c r="A87" s="1205"/>
      <c r="B87" s="1205"/>
      <c r="C87" s="1205"/>
      <c r="D87" s="1205"/>
      <c r="E87" s="1205"/>
      <c r="F87" s="1205"/>
      <c r="G87" s="1205"/>
      <c r="H87" s="1205"/>
      <c r="I87" s="1205"/>
      <c r="J87" s="1205"/>
      <c r="K87" s="1852"/>
      <c r="L87" s="1205"/>
      <c r="M87" s="1205"/>
      <c r="N87" s="1852"/>
    </row>
    <row r="88" spans="1:14" ht="15.75">
      <c r="A88" s="409" t="s">
        <v>831</v>
      </c>
      <c r="B88" s="409"/>
      <c r="C88" s="409"/>
      <c r="D88" s="409"/>
      <c r="E88" s="409"/>
      <c r="F88" s="409"/>
      <c r="G88" s="409"/>
      <c r="H88" s="409"/>
      <c r="I88" s="409"/>
      <c r="J88" s="409"/>
      <c r="K88" s="127"/>
      <c r="L88" s="409" t="s">
        <v>832</v>
      </c>
      <c r="M88" s="409"/>
      <c r="N88" s="127"/>
    </row>
  </sheetData>
  <sheetProtection/>
  <mergeCells count="43">
    <mergeCell ref="K63:L63"/>
    <mergeCell ref="H74:H75"/>
    <mergeCell ref="H64:H65"/>
    <mergeCell ref="I64:J64"/>
    <mergeCell ref="K64:L64"/>
    <mergeCell ref="B70:G70"/>
    <mergeCell ref="B71:G71"/>
    <mergeCell ref="B72:G72"/>
    <mergeCell ref="B73:G73"/>
    <mergeCell ref="M64:N64"/>
    <mergeCell ref="I65:I67"/>
    <mergeCell ref="J65:J67"/>
    <mergeCell ref="K65:K67"/>
    <mergeCell ref="L65:L67"/>
    <mergeCell ref="M65:M67"/>
    <mergeCell ref="N65:N67"/>
    <mergeCell ref="M63:N63"/>
    <mergeCell ref="B24:G24"/>
    <mergeCell ref="B25:G25"/>
    <mergeCell ref="B26:G26"/>
    <mergeCell ref="B27:G27"/>
    <mergeCell ref="A58:N58"/>
    <mergeCell ref="A59:N59"/>
    <mergeCell ref="A60:N60"/>
    <mergeCell ref="C62:D62"/>
    <mergeCell ref="I63:J63"/>
    <mergeCell ref="H14:H15"/>
    <mergeCell ref="I14:J14"/>
    <mergeCell ref="K14:L14"/>
    <mergeCell ref="M14:N14"/>
    <mergeCell ref="I15:I17"/>
    <mergeCell ref="J15:J17"/>
    <mergeCell ref="K15:K17"/>
    <mergeCell ref="L15:L17"/>
    <mergeCell ref="M15:M17"/>
    <mergeCell ref="N15:N17"/>
    <mergeCell ref="I13:J13"/>
    <mergeCell ref="K13:L13"/>
    <mergeCell ref="M13:N13"/>
    <mergeCell ref="A8:N8"/>
    <mergeCell ref="A9:N9"/>
    <mergeCell ref="A10:J10"/>
    <mergeCell ref="C12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46"/>
  <sheetViews>
    <sheetView tabSelected="1" view="pageBreakPreview" zoomScaleSheetLayoutView="100" zoomScalePageLayoutView="0" workbookViewId="0" topLeftCell="A1">
      <selection activeCell="A1" sqref="A1:M45"/>
    </sheetView>
  </sheetViews>
  <sheetFormatPr defaultColWidth="9.140625" defaultRowHeight="12.75"/>
  <cols>
    <col min="1" max="1" width="4.00390625" style="331" customWidth="1"/>
    <col min="2" max="6" width="7.421875" style="331" customWidth="1"/>
    <col min="7" max="7" width="12.421875" style="331" bestFit="1" customWidth="1"/>
    <col min="8" max="8" width="11.28125" style="331" bestFit="1" customWidth="1"/>
    <col min="9" max="9" width="9.8515625" style="331" bestFit="1" customWidth="1"/>
    <col min="10" max="10" width="10.7109375" style="1798" customWidth="1"/>
    <col min="11" max="11" width="8.7109375" style="1798" customWidth="1"/>
    <col min="12" max="12" width="7.8515625" style="1798" customWidth="1"/>
    <col min="13" max="13" width="8.140625" style="1798" customWidth="1"/>
    <col min="14" max="14" width="10.140625" style="1798" customWidth="1"/>
    <col min="15" max="15" width="9.00390625" style="1798" customWidth="1"/>
    <col min="16" max="16" width="10.421875" style="1798" customWidth="1"/>
    <col min="17" max="17" width="5.28125" style="1860" customWidth="1"/>
    <col min="18" max="18" width="8.8515625" style="1798" customWidth="1"/>
    <col min="19" max="19" width="10.28125" style="1798" customWidth="1"/>
    <col min="20" max="20" width="11.7109375" style="1798" customWidth="1"/>
    <col min="21" max="21" width="9.140625" style="1125" customWidth="1"/>
    <col min="22" max="16384" width="9.140625" style="1798" customWidth="1"/>
  </cols>
  <sheetData>
    <row r="1" spans="1:21" s="1787" customFormat="1" ht="15.75">
      <c r="A1" s="1784"/>
      <c r="B1" s="1784"/>
      <c r="C1" s="1784"/>
      <c r="D1" s="1784"/>
      <c r="E1" s="1784"/>
      <c r="F1" s="1784"/>
      <c r="G1" s="409"/>
      <c r="H1" s="409"/>
      <c r="I1" s="409"/>
      <c r="J1" s="1784"/>
      <c r="K1" s="409" t="s">
        <v>436</v>
      </c>
      <c r="L1" s="409"/>
      <c r="M1" s="409"/>
      <c r="N1" s="344"/>
      <c r="O1" s="344"/>
      <c r="P1" s="344"/>
      <c r="Q1" s="1785"/>
      <c r="R1" s="127"/>
      <c r="S1" s="127"/>
      <c r="T1" s="127"/>
      <c r="U1" s="1786"/>
    </row>
    <row r="2" spans="1:21" s="1787" customFormat="1" ht="15.75">
      <c r="A2" s="1784"/>
      <c r="B2" s="1784"/>
      <c r="C2" s="1784"/>
      <c r="D2" s="1784"/>
      <c r="E2" s="1784"/>
      <c r="F2" s="1784"/>
      <c r="G2" s="1199"/>
      <c r="H2" s="1788"/>
      <c r="I2" s="1202"/>
      <c r="J2" s="1784"/>
      <c r="K2" s="1199"/>
      <c r="L2" s="1788"/>
      <c r="M2" s="1202" t="s">
        <v>437</v>
      </c>
      <c r="N2" s="344"/>
      <c r="O2" s="344"/>
      <c r="P2" s="344"/>
      <c r="Q2" s="1785"/>
      <c r="R2" s="127"/>
      <c r="S2" s="127"/>
      <c r="T2" s="127"/>
      <c r="U2" s="1786"/>
    </row>
    <row r="3" spans="1:21" s="1787" customFormat="1" ht="15.75">
      <c r="A3" s="1784"/>
      <c r="B3" s="1784"/>
      <c r="C3" s="1784"/>
      <c r="D3" s="1784"/>
      <c r="E3" s="1784"/>
      <c r="F3" s="1784"/>
      <c r="G3" s="1199"/>
      <c r="H3" s="1199"/>
      <c r="I3" s="1202"/>
      <c r="J3" s="1784"/>
      <c r="K3" s="1199"/>
      <c r="L3" s="1199"/>
      <c r="M3" s="1202" t="s">
        <v>27</v>
      </c>
      <c r="N3" s="344"/>
      <c r="O3" s="344"/>
      <c r="P3" s="344"/>
      <c r="Q3" s="1785"/>
      <c r="R3" s="127"/>
      <c r="S3" s="127"/>
      <c r="T3" s="410"/>
      <c r="U3" s="1786"/>
    </row>
    <row r="4" spans="1:21" s="1787" customFormat="1" ht="15.75">
      <c r="A4" s="1784"/>
      <c r="B4" s="1784"/>
      <c r="C4" s="1784"/>
      <c r="D4" s="1784"/>
      <c r="E4" s="1784"/>
      <c r="F4" s="1784"/>
      <c r="G4" s="376"/>
      <c r="H4" s="1203"/>
      <c r="I4" s="1202"/>
      <c r="J4" s="1784"/>
      <c r="K4" s="387">
        <f>ЦЦЛ!J54</f>
        <v>1</v>
      </c>
      <c r="L4" s="1203" t="str">
        <f>ЦЦЛ!M4</f>
        <v>июля</v>
      </c>
      <c r="M4" s="1202" t="str">
        <f>ЦЦЛ!N4</f>
        <v>2017 г.</v>
      </c>
      <c r="N4" s="344"/>
      <c r="O4" s="344"/>
      <c r="P4" s="344"/>
      <c r="Q4" s="1785"/>
      <c r="R4" s="376"/>
      <c r="S4" s="376"/>
      <c r="T4" s="410"/>
      <c r="U4" s="1786"/>
    </row>
    <row r="5" spans="1:21" s="1794" customFormat="1" ht="15">
      <c r="A5" s="1199"/>
      <c r="B5" s="1199"/>
      <c r="C5" s="1199"/>
      <c r="D5" s="1199"/>
      <c r="E5" s="1199"/>
      <c r="F5" s="1199"/>
      <c r="G5" s="1204"/>
      <c r="H5" s="1204"/>
      <c r="I5" s="1789"/>
      <c r="J5" s="237"/>
      <c r="K5" s="237"/>
      <c r="L5" s="237"/>
      <c r="M5" s="237"/>
      <c r="N5" s="237"/>
      <c r="O5" s="237"/>
      <c r="P5" s="237"/>
      <c r="Q5" s="1790"/>
      <c r="R5" s="1240"/>
      <c r="S5" s="1791"/>
      <c r="T5" s="1792"/>
      <c r="U5" s="1793"/>
    </row>
    <row r="6" spans="1:21" s="1794" customFormat="1" ht="15">
      <c r="A6" s="1199"/>
      <c r="B6" s="1199"/>
      <c r="C6" s="1199"/>
      <c r="D6" s="1199"/>
      <c r="E6" s="1199"/>
      <c r="F6" s="1199"/>
      <c r="G6" s="1204"/>
      <c r="H6" s="1204"/>
      <c r="I6" s="1789"/>
      <c r="J6" s="237"/>
      <c r="K6" s="237"/>
      <c r="L6" s="237"/>
      <c r="M6" s="237"/>
      <c r="N6" s="237"/>
      <c r="O6" s="237"/>
      <c r="P6" s="237"/>
      <c r="Q6" s="1790"/>
      <c r="R6" s="1240"/>
      <c r="S6" s="1791"/>
      <c r="T6" s="1792"/>
      <c r="U6" s="1793"/>
    </row>
    <row r="7" spans="1:21" s="1794" customFormat="1" ht="15">
      <c r="A7" s="1199"/>
      <c r="B7" s="1199"/>
      <c r="C7" s="1199"/>
      <c r="D7" s="1199"/>
      <c r="E7" s="1199"/>
      <c r="F7" s="1199"/>
      <c r="G7" s="1204"/>
      <c r="H7" s="1204"/>
      <c r="I7" s="1789"/>
      <c r="J7" s="237"/>
      <c r="K7" s="237"/>
      <c r="L7" s="237"/>
      <c r="M7" s="237"/>
      <c r="N7" s="237"/>
      <c r="O7" s="237"/>
      <c r="P7" s="237"/>
      <c r="Q7" s="1790"/>
      <c r="R7" s="1240"/>
      <c r="S7" s="1791"/>
      <c r="T7" s="1792"/>
      <c r="U7" s="1793"/>
    </row>
    <row r="8" spans="1:21" ht="18.75">
      <c r="A8" s="2481" t="s">
        <v>439</v>
      </c>
      <c r="B8" s="2481"/>
      <c r="C8" s="2481"/>
      <c r="D8" s="2481"/>
      <c r="E8" s="2481"/>
      <c r="F8" s="2481"/>
      <c r="G8" s="2481"/>
      <c r="H8" s="2481"/>
      <c r="I8" s="2481"/>
      <c r="J8" s="2481"/>
      <c r="K8" s="2481"/>
      <c r="L8" s="2481"/>
      <c r="M8" s="2481"/>
      <c r="N8" s="1211"/>
      <c r="O8" s="1795"/>
      <c r="P8" s="329"/>
      <c r="Q8" s="1796"/>
      <c r="R8" s="329"/>
      <c r="S8" s="329"/>
      <c r="T8" s="1797"/>
      <c r="U8" s="620"/>
    </row>
    <row r="9" spans="1:21" ht="18.75" customHeight="1">
      <c r="A9" s="2482" t="s">
        <v>904</v>
      </c>
      <c r="B9" s="2482"/>
      <c r="C9" s="2482"/>
      <c r="D9" s="2482"/>
      <c r="E9" s="2482"/>
      <c r="F9" s="2482"/>
      <c r="G9" s="2482"/>
      <c r="H9" s="2482"/>
      <c r="I9" s="2482"/>
      <c r="J9" s="2482"/>
      <c r="K9" s="2482"/>
      <c r="L9" s="2482"/>
      <c r="M9" s="2482"/>
      <c r="N9" s="1211"/>
      <c r="O9" s="1795"/>
      <c r="P9" s="329"/>
      <c r="Q9" s="1796"/>
      <c r="R9" s="329"/>
      <c r="S9" s="329"/>
      <c r="T9" s="1797"/>
      <c r="U9" s="620"/>
    </row>
    <row r="10" spans="1:21" ht="18.75">
      <c r="A10" s="1861"/>
      <c r="B10" s="1861"/>
      <c r="C10" s="1861"/>
      <c r="D10" s="1861"/>
      <c r="E10" s="1861"/>
      <c r="F10" s="1861"/>
      <c r="G10" s="1861"/>
      <c r="H10" s="1861"/>
      <c r="I10" s="1861"/>
      <c r="J10" s="1211"/>
      <c r="K10" s="1211"/>
      <c r="L10" s="1211"/>
      <c r="M10" s="1211"/>
      <c r="N10" s="1211"/>
      <c r="O10" s="1795"/>
      <c r="P10" s="1211"/>
      <c r="Q10" s="1799"/>
      <c r="R10" s="1211"/>
      <c r="S10" s="329"/>
      <c r="T10" s="1797"/>
      <c r="U10" s="620"/>
    </row>
    <row r="11" spans="1:21" ht="15.75">
      <c r="A11" s="1212"/>
      <c r="B11" s="1202" t="s">
        <v>441</v>
      </c>
      <c r="C11" s="1890" t="str">
        <f>ЦЦЛ!C11</f>
        <v>01.07.2017г.</v>
      </c>
      <c r="D11" s="1801"/>
      <c r="E11" s="1212"/>
      <c r="F11" s="1213"/>
      <c r="G11" s="1212"/>
      <c r="H11" s="1212"/>
      <c r="J11" s="1211"/>
      <c r="K11" s="1211"/>
      <c r="L11" s="1211"/>
      <c r="M11" s="1211"/>
      <c r="N11" s="1211"/>
      <c r="O11" s="1218"/>
      <c r="P11" s="1211"/>
      <c r="Q11" s="1799"/>
      <c r="R11" s="1211"/>
      <c r="S11" s="329"/>
      <c r="T11" s="1797"/>
      <c r="U11" s="620"/>
    </row>
    <row r="12" spans="1:21" ht="12.75">
      <c r="A12" s="1212"/>
      <c r="B12" s="1800"/>
      <c r="C12" s="2503"/>
      <c r="D12" s="2503"/>
      <c r="E12" s="1212"/>
      <c r="F12" s="1213"/>
      <c r="G12" s="1212"/>
      <c r="H12" s="1212"/>
      <c r="J12" s="1211"/>
      <c r="K12" s="1211"/>
      <c r="L12" s="1211"/>
      <c r="M12" s="1211"/>
      <c r="N12" s="1211"/>
      <c r="O12" s="1218"/>
      <c r="P12" s="1211"/>
      <c r="Q12" s="1799"/>
      <c r="R12" s="1211"/>
      <c r="S12" s="1211"/>
      <c r="T12" s="329"/>
      <c r="U12" s="620"/>
    </row>
    <row r="13" spans="1:21" ht="20.25" customHeight="1" hidden="1">
      <c r="A13" s="1783"/>
      <c r="B13" s="1802"/>
      <c r="C13" s="1803"/>
      <c r="D13" s="1803"/>
      <c r="E13" s="361"/>
      <c r="F13" s="1803"/>
      <c r="H13" s="2196" t="s">
        <v>485</v>
      </c>
      <c r="I13" s="2196"/>
      <c r="J13" s="2196"/>
      <c r="K13" s="2190" t="s">
        <v>498</v>
      </c>
      <c r="L13" s="2190"/>
      <c r="M13" s="2190"/>
      <c r="N13" s="330"/>
      <c r="O13" s="329"/>
      <c r="P13" s="329"/>
      <c r="Q13" s="1796"/>
      <c r="R13" s="330"/>
      <c r="S13" s="330"/>
      <c r="T13" s="330"/>
      <c r="U13" s="620"/>
    </row>
    <row r="14" spans="8:21" ht="20.25" customHeight="1" hidden="1">
      <c r="H14" s="2222"/>
      <c r="I14" s="2222"/>
      <c r="J14" s="2222"/>
      <c r="K14" s="2202"/>
      <c r="L14" s="2202"/>
      <c r="M14" s="2202"/>
      <c r="N14" s="330"/>
      <c r="O14" s="329"/>
      <c r="P14" s="329"/>
      <c r="Q14" s="1796"/>
      <c r="R14" s="330"/>
      <c r="S14" s="330"/>
      <c r="T14" s="330"/>
      <c r="U14" s="620"/>
    </row>
    <row r="15" spans="1:21" ht="14.25" customHeight="1">
      <c r="A15" s="1783" t="s">
        <v>444</v>
      </c>
      <c r="B15" s="2497" t="s">
        <v>31</v>
      </c>
      <c r="C15" s="2498"/>
      <c r="D15" s="2498"/>
      <c r="E15" s="2498"/>
      <c r="F15" s="2499"/>
      <c r="G15" s="1862" t="s">
        <v>844</v>
      </c>
      <c r="H15" s="615"/>
      <c r="I15" s="1898" t="s">
        <v>442</v>
      </c>
      <c r="J15" s="2129" t="s">
        <v>443</v>
      </c>
      <c r="K15" s="2135"/>
      <c r="L15" s="1713"/>
      <c r="M15" s="1714"/>
      <c r="N15" s="330"/>
      <c r="O15" s="329"/>
      <c r="P15" s="329" t="s">
        <v>915</v>
      </c>
      <c r="Q15" s="1796"/>
      <c r="R15" s="330"/>
      <c r="S15" s="330"/>
      <c r="T15" s="330"/>
      <c r="U15" s="620"/>
    </row>
    <row r="16" spans="1:21" ht="14.25" customHeight="1">
      <c r="A16" s="1805" t="s">
        <v>450</v>
      </c>
      <c r="B16" s="388"/>
      <c r="C16" s="329"/>
      <c r="D16" s="329"/>
      <c r="E16" s="330"/>
      <c r="F16" s="329"/>
      <c r="G16" s="2485" t="s">
        <v>905</v>
      </c>
      <c r="H16" s="616" t="s">
        <v>447</v>
      </c>
      <c r="I16" s="105" t="s">
        <v>448</v>
      </c>
      <c r="J16" s="2130" t="s">
        <v>449</v>
      </c>
      <c r="K16" s="2135"/>
      <c r="L16" s="1713"/>
      <c r="M16" s="1714"/>
      <c r="N16" s="330"/>
      <c r="O16" s="329"/>
      <c r="P16" s="329"/>
      <c r="Q16" s="1796"/>
      <c r="R16" s="330"/>
      <c r="S16" s="330"/>
      <c r="T16" s="330"/>
      <c r="U16" s="620"/>
    </row>
    <row r="17" spans="1:21" ht="14.25" customHeight="1">
      <c r="A17" s="1807"/>
      <c r="B17" s="395"/>
      <c r="C17" s="396"/>
      <c r="D17" s="396"/>
      <c r="E17" s="396"/>
      <c r="F17" s="396"/>
      <c r="G17" s="2492"/>
      <c r="H17" s="1867"/>
      <c r="I17" s="1868" t="s">
        <v>452</v>
      </c>
      <c r="J17" s="2131" t="s">
        <v>453</v>
      </c>
      <c r="K17" s="2136"/>
      <c r="L17" s="1713"/>
      <c r="M17" s="1714"/>
      <c r="N17" s="329"/>
      <c r="O17" s="329"/>
      <c r="P17" s="329"/>
      <c r="Q17" s="1796"/>
      <c r="R17" s="330"/>
      <c r="S17" s="330"/>
      <c r="T17" s="330"/>
      <c r="U17" s="620"/>
    </row>
    <row r="18" spans="1:21" ht="12.75" customHeight="1" hidden="1">
      <c r="A18" s="1814" t="s">
        <v>444</v>
      </c>
      <c r="B18" s="1815"/>
      <c r="C18" s="1816"/>
      <c r="D18" s="1816"/>
      <c r="E18" s="1817"/>
      <c r="F18" s="1816"/>
      <c r="G18" s="1818" t="s">
        <v>844</v>
      </c>
      <c r="H18" s="618" t="s">
        <v>457</v>
      </c>
      <c r="I18" s="628" t="s">
        <v>457</v>
      </c>
      <c r="J18" s="2131" t="s">
        <v>457</v>
      </c>
      <c r="K18" s="2137" t="s">
        <v>457</v>
      </c>
      <c r="L18" s="1711" t="s">
        <v>457</v>
      </c>
      <c r="M18" s="1714" t="s">
        <v>457</v>
      </c>
      <c r="N18" s="330"/>
      <c r="O18" s="329"/>
      <c r="P18" s="329"/>
      <c r="Q18" s="1796"/>
      <c r="R18" s="330"/>
      <c r="S18" s="330"/>
      <c r="T18" s="330"/>
      <c r="U18" s="620"/>
    </row>
    <row r="19" spans="1:21" ht="12.75" hidden="1">
      <c r="A19" s="1814" t="s">
        <v>450</v>
      </c>
      <c r="B19" s="1815"/>
      <c r="C19" s="1816"/>
      <c r="D19" s="1816"/>
      <c r="E19" s="1817" t="s">
        <v>31</v>
      </c>
      <c r="F19" s="1816"/>
      <c r="G19" s="1818" t="s">
        <v>849</v>
      </c>
      <c r="H19" s="1814" t="s">
        <v>849</v>
      </c>
      <c r="I19" s="1818" t="s">
        <v>453</v>
      </c>
      <c r="J19" s="330"/>
      <c r="K19" s="388"/>
      <c r="L19" s="329"/>
      <c r="M19" s="329"/>
      <c r="N19" s="330"/>
      <c r="O19" s="329"/>
      <c r="P19" s="329"/>
      <c r="Q19" s="1796"/>
      <c r="R19" s="330"/>
      <c r="S19" s="330"/>
      <c r="T19" s="330"/>
      <c r="U19" s="620"/>
    </row>
    <row r="20" spans="1:21" ht="12.75" hidden="1">
      <c r="A20" s="1814"/>
      <c r="B20" s="1815"/>
      <c r="C20" s="1816"/>
      <c r="D20" s="1816"/>
      <c r="E20" s="1817"/>
      <c r="F20" s="1816"/>
      <c r="G20" s="1818"/>
      <c r="H20" s="1814"/>
      <c r="I20" s="1818" t="s">
        <v>37</v>
      </c>
      <c r="J20" s="330"/>
      <c r="K20" s="388"/>
      <c r="L20" s="329"/>
      <c r="M20" s="329"/>
      <c r="N20" s="330"/>
      <c r="O20" s="329"/>
      <c r="P20" s="329"/>
      <c r="Q20" s="1796"/>
      <c r="R20" s="330"/>
      <c r="S20" s="330"/>
      <c r="T20" s="330"/>
      <c r="U20" s="620"/>
    </row>
    <row r="21" spans="1:21" ht="12.75" hidden="1">
      <c r="A21" s="1819"/>
      <c r="B21" s="1820"/>
      <c r="C21" s="1821"/>
      <c r="D21" s="1821"/>
      <c r="E21" s="1821"/>
      <c r="F21" s="1821"/>
      <c r="G21" s="1822"/>
      <c r="H21" s="1823"/>
      <c r="I21" s="1822" t="s">
        <v>457</v>
      </c>
      <c r="J21" s="1863"/>
      <c r="K21" s="388"/>
      <c r="L21" s="329"/>
      <c r="M21" s="329"/>
      <c r="N21" s="329"/>
      <c r="O21" s="329"/>
      <c r="P21" s="329"/>
      <c r="Q21" s="1796"/>
      <c r="R21" s="330"/>
      <c r="S21" s="330"/>
      <c r="T21" s="330"/>
      <c r="U21" s="620"/>
    </row>
    <row r="22" spans="1:21" ht="15.75">
      <c r="A22" s="1805"/>
      <c r="B22" s="1824"/>
      <c r="C22" s="329"/>
      <c r="D22" s="329"/>
      <c r="E22" s="329"/>
      <c r="F22" s="329"/>
      <c r="G22" s="369"/>
      <c r="H22" s="1825"/>
      <c r="I22" s="1826"/>
      <c r="J22" s="1783"/>
      <c r="K22" s="1865"/>
      <c r="L22" s="329"/>
      <c r="M22" s="329"/>
      <c r="N22" s="329"/>
      <c r="O22" s="329"/>
      <c r="P22" s="329"/>
      <c r="Q22" s="1796"/>
      <c r="R22" s="330"/>
      <c r="S22" s="1827"/>
      <c r="T22" s="1828"/>
      <c r="U22" s="620"/>
    </row>
    <row r="23" spans="1:21" ht="18.75">
      <c r="A23" s="1805"/>
      <c r="B23" s="1874" t="s">
        <v>906</v>
      </c>
      <c r="C23" s="1875"/>
      <c r="D23" s="1875"/>
      <c r="E23" s="1875"/>
      <c r="F23" s="1875"/>
      <c r="G23" s="369"/>
      <c r="H23" s="1825"/>
      <c r="I23" s="1826"/>
      <c r="J23" s="1805"/>
      <c r="K23" s="1865"/>
      <c r="L23" s="329"/>
      <c r="M23" s="329"/>
      <c r="N23" s="329"/>
      <c r="O23" s="329"/>
      <c r="P23" s="329"/>
      <c r="Q23" s="1796"/>
      <c r="R23" s="330"/>
      <c r="S23" s="1827"/>
      <c r="T23" s="1828"/>
      <c r="U23" s="620"/>
    </row>
    <row r="24" spans="1:21" s="1855" customFormat="1" ht="11.25">
      <c r="A24" s="375"/>
      <c r="B24" s="1869"/>
      <c r="C24" s="1870"/>
      <c r="D24" s="1870"/>
      <c r="E24" s="1870"/>
      <c r="F24" s="1870"/>
      <c r="G24" s="74"/>
      <c r="H24" s="375"/>
      <c r="I24" s="1871"/>
      <c r="J24" s="375"/>
      <c r="K24" s="1872"/>
      <c r="L24" s="1852"/>
      <c r="M24" s="1852"/>
      <c r="N24" s="1852"/>
      <c r="O24" s="1852"/>
      <c r="P24" s="1852"/>
      <c r="Q24" s="1853"/>
      <c r="R24" s="381"/>
      <c r="S24" s="381"/>
      <c r="T24" s="1873"/>
      <c r="U24" s="1854"/>
    </row>
    <row r="25" spans="1:21" ht="55.5" customHeight="1">
      <c r="A25" s="1877">
        <v>1</v>
      </c>
      <c r="B25" s="2505" t="s">
        <v>907</v>
      </c>
      <c r="C25" s="2506"/>
      <c r="D25" s="2506"/>
      <c r="E25" s="2506"/>
      <c r="F25" s="2506"/>
      <c r="G25" s="1832" t="s">
        <v>908</v>
      </c>
      <c r="H25" s="2124">
        <v>27.16</v>
      </c>
      <c r="I25" s="2123">
        <v>0</v>
      </c>
      <c r="J25" s="2133">
        <f>SUM(H25:I25)</f>
        <v>27.16</v>
      </c>
      <c r="K25" s="1896"/>
      <c r="L25" s="2134"/>
      <c r="M25" s="2134"/>
      <c r="N25" s="329"/>
      <c r="O25" s="329"/>
      <c r="P25" s="329"/>
      <c r="Q25" s="1796"/>
      <c r="R25" s="330"/>
      <c r="S25" s="1827"/>
      <c r="T25" s="1828"/>
      <c r="U25" s="620"/>
    </row>
    <row r="26" spans="1:21" ht="53.25" customHeight="1">
      <c r="A26" s="1831">
        <v>2</v>
      </c>
      <c r="B26" s="2505" t="s">
        <v>909</v>
      </c>
      <c r="C26" s="2506"/>
      <c r="D26" s="2506"/>
      <c r="E26" s="2506"/>
      <c r="F26" s="2506"/>
      <c r="G26" s="1832" t="s">
        <v>908</v>
      </c>
      <c r="H26" s="2124">
        <v>25.5</v>
      </c>
      <c r="I26" s="2123">
        <v>0</v>
      </c>
      <c r="J26" s="2133">
        <f>SUM(H26:I26)</f>
        <v>25.5</v>
      </c>
      <c r="K26" s="1896"/>
      <c r="L26" s="2134"/>
      <c r="M26" s="2134"/>
      <c r="N26" s="329"/>
      <c r="O26" s="329"/>
      <c r="P26" s="329"/>
      <c r="Q26" s="1796"/>
      <c r="R26" s="330"/>
      <c r="S26" s="1827"/>
      <c r="T26" s="1828"/>
      <c r="U26" s="620"/>
    </row>
    <row r="27" spans="1:21" s="1855" customFormat="1" ht="12.75">
      <c r="A27" s="375"/>
      <c r="B27" s="1869"/>
      <c r="C27" s="1870"/>
      <c r="D27" s="1870"/>
      <c r="E27" s="1870"/>
      <c r="F27" s="1870"/>
      <c r="G27" s="74"/>
      <c r="H27" s="1805"/>
      <c r="I27" s="1894"/>
      <c r="J27" s="1805"/>
      <c r="K27" s="388"/>
      <c r="L27" s="329"/>
      <c r="M27" s="329"/>
      <c r="N27" s="1852"/>
      <c r="O27" s="1852"/>
      <c r="P27" s="1852"/>
      <c r="Q27" s="1853"/>
      <c r="R27" s="381"/>
      <c r="S27" s="381"/>
      <c r="T27" s="1873"/>
      <c r="U27" s="1854"/>
    </row>
    <row r="28" spans="1:21" ht="46.5" customHeight="1">
      <c r="A28" s="1744">
        <v>3</v>
      </c>
      <c r="B28" s="2500" t="s">
        <v>910</v>
      </c>
      <c r="C28" s="2501"/>
      <c r="D28" s="2501"/>
      <c r="E28" s="2501"/>
      <c r="F28" s="2502"/>
      <c r="G28" s="1864"/>
      <c r="H28" s="1895"/>
      <c r="I28" s="1893"/>
      <c r="J28" s="2132"/>
      <c r="K28" s="1896"/>
      <c r="L28" s="2134"/>
      <c r="M28" s="2134"/>
      <c r="N28" s="329"/>
      <c r="O28" s="329"/>
      <c r="P28" s="329"/>
      <c r="Q28" s="1796"/>
      <c r="R28" s="330"/>
      <c r="S28" s="1827"/>
      <c r="T28" s="1828"/>
      <c r="U28" s="620"/>
    </row>
    <row r="29" spans="1:21" ht="72" customHeight="1">
      <c r="A29" s="1866" t="s">
        <v>867</v>
      </c>
      <c r="B29" s="2505" t="s">
        <v>911</v>
      </c>
      <c r="C29" s="2506"/>
      <c r="D29" s="2506"/>
      <c r="E29" s="2506"/>
      <c r="F29" s="2506"/>
      <c r="G29" s="1832" t="s">
        <v>912</v>
      </c>
      <c r="H29" s="2124">
        <v>123.39</v>
      </c>
      <c r="I29" s="2123">
        <f>'[1]роды нов'!$G$51</f>
        <v>113.29384000000002</v>
      </c>
      <c r="J29" s="2133">
        <f>SUM(H29:I29)</f>
        <v>236.68384000000003</v>
      </c>
      <c r="K29" s="1896"/>
      <c r="L29" s="2134"/>
      <c r="M29" s="2134"/>
      <c r="N29" s="329"/>
      <c r="O29" s="329"/>
      <c r="P29" s="329"/>
      <c r="Q29" s="1796"/>
      <c r="R29" s="411"/>
      <c r="S29" s="1827"/>
      <c r="T29" s="1828"/>
      <c r="U29" s="620"/>
    </row>
    <row r="30" spans="1:21" ht="37.5" customHeight="1">
      <c r="A30" s="1876" t="s">
        <v>871</v>
      </c>
      <c r="B30" s="2505" t="s">
        <v>913</v>
      </c>
      <c r="C30" s="2506"/>
      <c r="D30" s="2506"/>
      <c r="E30" s="2506"/>
      <c r="F30" s="2506"/>
      <c r="G30" s="1832" t="s">
        <v>912</v>
      </c>
      <c r="H30" s="2124">
        <v>128.97</v>
      </c>
      <c r="I30" s="2123">
        <f>'[1]роды нов'!$G$97</f>
        <v>152.9971</v>
      </c>
      <c r="J30" s="2133">
        <f>SUM(H30:I30)</f>
        <v>281.96709999999996</v>
      </c>
      <c r="K30" s="1896"/>
      <c r="L30" s="2134"/>
      <c r="M30" s="2134"/>
      <c r="N30" s="329"/>
      <c r="O30" s="329"/>
      <c r="P30" s="329"/>
      <c r="Q30" s="1796"/>
      <c r="R30" s="411"/>
      <c r="S30" s="1827"/>
      <c r="T30" s="1828"/>
      <c r="U30" s="620"/>
    </row>
    <row r="31" spans="1:21" s="1855" customFormat="1" ht="12.75">
      <c r="A31" s="375"/>
      <c r="B31" s="1869"/>
      <c r="C31" s="1870"/>
      <c r="D31" s="1870"/>
      <c r="E31" s="1870"/>
      <c r="F31" s="1870"/>
      <c r="G31" s="74"/>
      <c r="H31" s="2125"/>
      <c r="I31" s="2126"/>
      <c r="J31" s="1805"/>
      <c r="K31" s="388"/>
      <c r="L31" s="329"/>
      <c r="M31" s="329"/>
      <c r="N31" s="1852"/>
      <c r="O31" s="1852"/>
      <c r="P31" s="1852"/>
      <c r="Q31" s="1853"/>
      <c r="R31" s="381"/>
      <c r="S31" s="381"/>
      <c r="T31" s="1873"/>
      <c r="U31" s="1854"/>
    </row>
    <row r="32" spans="1:21" ht="35.25" customHeight="1">
      <c r="A32" s="1744">
        <v>4</v>
      </c>
      <c r="B32" s="2504" t="s">
        <v>914</v>
      </c>
      <c r="C32" s="2475"/>
      <c r="D32" s="2475"/>
      <c r="E32" s="2475"/>
      <c r="F32" s="2476"/>
      <c r="G32" s="1864" t="s">
        <v>912</v>
      </c>
      <c r="H32" s="2127">
        <v>167.27</v>
      </c>
      <c r="I32" s="2128">
        <f>'[1]роды нов'!$G$129</f>
        <v>43.2601</v>
      </c>
      <c r="J32" s="2138">
        <f>SUM(H32:I32)</f>
        <v>210.5301</v>
      </c>
      <c r="K32" s="1896"/>
      <c r="L32" s="2134"/>
      <c r="M32" s="2134"/>
      <c r="N32" s="329"/>
      <c r="O32" s="329"/>
      <c r="P32" s="329"/>
      <c r="Q32" s="1796"/>
      <c r="R32" s="330"/>
      <c r="S32" s="1827"/>
      <c r="T32" s="1828"/>
      <c r="U32" s="620"/>
    </row>
    <row r="33" spans="1:21" ht="12.75">
      <c r="A33" s="1844"/>
      <c r="B33" s="1844"/>
      <c r="C33" s="1845"/>
      <c r="D33" s="1845"/>
      <c r="E33" s="1845"/>
      <c r="F33" s="1845"/>
      <c r="G33" s="1846"/>
      <c r="H33" s="1844"/>
      <c r="I33" s="1846"/>
      <c r="J33" s="395"/>
      <c r="K33" s="388"/>
      <c r="L33" s="329"/>
      <c r="M33" s="329"/>
      <c r="N33" s="329"/>
      <c r="O33" s="329"/>
      <c r="P33" s="329"/>
      <c r="Q33" s="1796"/>
      <c r="R33" s="329"/>
      <c r="S33" s="329"/>
      <c r="T33" s="329"/>
      <c r="U33" s="620"/>
    </row>
    <row r="34" spans="1:21" ht="12.75">
      <c r="A34" s="1847"/>
      <c r="B34" s="1847"/>
      <c r="C34" s="1847"/>
      <c r="D34" s="1847"/>
      <c r="E34" s="1847"/>
      <c r="F34" s="1847"/>
      <c r="G34" s="1847"/>
      <c r="H34" s="1847"/>
      <c r="I34" s="1847"/>
      <c r="J34" s="329"/>
      <c r="K34" s="329"/>
      <c r="L34" s="329"/>
      <c r="M34" s="329"/>
      <c r="N34" s="329"/>
      <c r="O34" s="329"/>
      <c r="P34" s="329"/>
      <c r="Q34" s="1796"/>
      <c r="R34" s="329"/>
      <c r="S34" s="329"/>
      <c r="T34" s="329"/>
      <c r="U34" s="620"/>
    </row>
    <row r="35" spans="1:21" ht="12.75">
      <c r="A35" s="1847"/>
      <c r="B35" s="1847"/>
      <c r="C35" s="1847"/>
      <c r="D35" s="1847"/>
      <c r="E35" s="1847"/>
      <c r="F35" s="1847"/>
      <c r="G35" s="1847"/>
      <c r="H35" s="1847"/>
      <c r="I35" s="1847"/>
      <c r="J35" s="329"/>
      <c r="K35" s="329"/>
      <c r="L35" s="329"/>
      <c r="M35" s="329"/>
      <c r="N35" s="329"/>
      <c r="O35" s="329"/>
      <c r="P35" s="329"/>
      <c r="Q35" s="1796"/>
      <c r="R35" s="329"/>
      <c r="S35" s="329"/>
      <c r="T35" s="329"/>
      <c r="U35" s="620"/>
    </row>
    <row r="36" spans="1:21" ht="12.75">
      <c r="A36" s="1847"/>
      <c r="B36" s="1847"/>
      <c r="C36" s="1847"/>
      <c r="D36" s="1847"/>
      <c r="E36" s="1847"/>
      <c r="F36" s="1847"/>
      <c r="G36" s="1847"/>
      <c r="H36" s="1847"/>
      <c r="I36" s="1847"/>
      <c r="J36" s="329"/>
      <c r="K36" s="329"/>
      <c r="L36" s="329"/>
      <c r="M36" s="329"/>
      <c r="N36" s="329"/>
      <c r="O36" s="329"/>
      <c r="P36" s="329"/>
      <c r="Q36" s="1796"/>
      <c r="R36" s="329"/>
      <c r="S36" s="329"/>
      <c r="T36" s="329"/>
      <c r="U36" s="620"/>
    </row>
    <row r="37" spans="1:21" ht="12.75">
      <c r="A37" s="1847"/>
      <c r="B37" s="1847"/>
      <c r="C37" s="1847"/>
      <c r="D37" s="1847"/>
      <c r="E37" s="1847"/>
      <c r="F37" s="1847"/>
      <c r="G37" s="1847"/>
      <c r="H37" s="1847"/>
      <c r="I37" s="1847"/>
      <c r="J37" s="329"/>
      <c r="K37" s="329"/>
      <c r="L37" s="329"/>
      <c r="M37" s="329"/>
      <c r="N37" s="329"/>
      <c r="O37" s="329"/>
      <c r="P37" s="329"/>
      <c r="Q37" s="1796"/>
      <c r="R37" s="329"/>
      <c r="S37" s="329"/>
      <c r="T37" s="329"/>
      <c r="U37" s="620"/>
    </row>
    <row r="38" spans="1:21" ht="12.75">
      <c r="A38" s="1847"/>
      <c r="B38" s="1847"/>
      <c r="C38" s="1847"/>
      <c r="D38" s="1847"/>
      <c r="E38" s="1847"/>
      <c r="F38" s="1847"/>
      <c r="G38" s="1847"/>
      <c r="H38" s="1847"/>
      <c r="I38" s="1847"/>
      <c r="J38" s="329"/>
      <c r="K38" s="329"/>
      <c r="L38" s="329"/>
      <c r="M38" s="329"/>
      <c r="N38" s="329"/>
      <c r="O38" s="329"/>
      <c r="P38" s="329"/>
      <c r="Q38" s="1796"/>
      <c r="R38" s="329"/>
      <c r="S38" s="329"/>
      <c r="T38" s="329"/>
      <c r="U38" s="620"/>
    </row>
    <row r="39" spans="1:21" s="1851" customFormat="1" ht="18.75" customHeight="1">
      <c r="A39" s="957" t="s">
        <v>19</v>
      </c>
      <c r="B39" s="831"/>
      <c r="C39" s="831"/>
      <c r="D39" s="916"/>
      <c r="E39" s="831"/>
      <c r="F39" s="831"/>
      <c r="G39" s="917"/>
      <c r="H39" s="918"/>
      <c r="I39" s="916"/>
      <c r="J39" s="917"/>
      <c r="K39" s="918" t="str">
        <f>ЦЦЛ!L32</f>
        <v>М.В. Ровгач</v>
      </c>
      <c r="L39" s="916"/>
      <c r="M39"/>
      <c r="N39" s="127"/>
      <c r="O39" s="127"/>
      <c r="P39" s="127"/>
      <c r="Q39" s="1850"/>
      <c r="R39" s="127"/>
      <c r="S39" s="127"/>
      <c r="T39" s="127"/>
      <c r="U39" s="612"/>
    </row>
    <row r="40" spans="1:21" s="1855" customFormat="1" ht="18.75" customHeight="1">
      <c r="A40" s="830"/>
      <c r="B40" s="831"/>
      <c r="C40" s="831"/>
      <c r="D40" s="916"/>
      <c r="E40" s="831"/>
      <c r="F40" s="831"/>
      <c r="G40" s="917"/>
      <c r="H40" s="919"/>
      <c r="I40" s="916"/>
      <c r="J40" s="917"/>
      <c r="K40" s="919"/>
      <c r="L40" s="916"/>
      <c r="M40"/>
      <c r="N40" s="1852"/>
      <c r="O40" s="1852"/>
      <c r="P40" s="1852"/>
      <c r="Q40" s="1853"/>
      <c r="R40" s="1852"/>
      <c r="S40" s="1852"/>
      <c r="T40" s="1852"/>
      <c r="U40" s="1854"/>
    </row>
    <row r="41" spans="1:21" s="1855" customFormat="1" ht="18.75" customHeight="1">
      <c r="A41" s="1196" t="s">
        <v>152</v>
      </c>
      <c r="B41" s="831"/>
      <c r="C41" s="831"/>
      <c r="D41" s="916"/>
      <c r="E41" s="831"/>
      <c r="F41" s="831"/>
      <c r="G41" s="917"/>
      <c r="H41" s="919"/>
      <c r="I41" s="916"/>
      <c r="J41" s="917"/>
      <c r="K41" s="919" t="s">
        <v>176</v>
      </c>
      <c r="L41" s="916"/>
      <c r="M41"/>
      <c r="N41" s="1852"/>
      <c r="O41" s="1852"/>
      <c r="P41" s="1852"/>
      <c r="Q41" s="1853"/>
      <c r="R41" s="1852"/>
      <c r="S41" s="1852"/>
      <c r="T41" s="1852"/>
      <c r="U41" s="1854"/>
    </row>
    <row r="42" spans="1:21" s="1855" customFormat="1" ht="18.75" customHeight="1">
      <c r="A42" s="831"/>
      <c r="B42" s="831"/>
      <c r="C42" s="831"/>
      <c r="D42" s="916"/>
      <c r="E42" s="831"/>
      <c r="F42" s="831"/>
      <c r="G42" s="917"/>
      <c r="H42" s="919"/>
      <c r="I42" s="916"/>
      <c r="J42" s="917"/>
      <c r="K42" s="919"/>
      <c r="L42" s="916"/>
      <c r="M42"/>
      <c r="N42" s="1852"/>
      <c r="O42" s="1852"/>
      <c r="P42" s="1852"/>
      <c r="Q42" s="1853"/>
      <c r="R42" s="1852"/>
      <c r="S42" s="1852"/>
      <c r="T42" s="1852"/>
      <c r="U42" s="1854"/>
    </row>
    <row r="43" spans="1:21" s="1851" customFormat="1" ht="18.75" customHeight="1">
      <c r="A43" s="952" t="s">
        <v>829</v>
      </c>
      <c r="B43" s="831"/>
      <c r="C43" s="831"/>
      <c r="D43" s="916"/>
      <c r="E43" s="831"/>
      <c r="F43" s="831"/>
      <c r="G43" s="917"/>
      <c r="H43" s="919"/>
      <c r="I43" s="916"/>
      <c r="J43" s="917"/>
      <c r="K43" s="919" t="s">
        <v>830</v>
      </c>
      <c r="L43" s="916"/>
      <c r="M43"/>
      <c r="N43" s="127"/>
      <c r="O43" s="127"/>
      <c r="P43" s="329"/>
      <c r="Q43" s="1796"/>
      <c r="R43" s="329"/>
      <c r="S43" s="329"/>
      <c r="T43" s="329"/>
      <c r="U43" s="612"/>
    </row>
    <row r="44" spans="1:21" s="1859" customFormat="1" ht="18.75" customHeight="1">
      <c r="A44" s="831"/>
      <c r="B44" s="539"/>
      <c r="C44" s="539"/>
      <c r="D44" s="2"/>
      <c r="E44" s="2"/>
      <c r="F44" s="2"/>
      <c r="G44" s="614"/>
      <c r="H44" s="919"/>
      <c r="I44" s="5"/>
      <c r="J44" s="614"/>
      <c r="K44" s="919"/>
      <c r="L44" s="5"/>
      <c r="M44"/>
      <c r="N44" s="1857"/>
      <c r="O44" s="1857"/>
      <c r="P44" s="127"/>
      <c r="Q44" s="1850"/>
      <c r="R44" s="127"/>
      <c r="S44" s="127"/>
      <c r="T44" s="127"/>
      <c r="U44" s="1858"/>
    </row>
    <row r="45" spans="1:21" s="1859" customFormat="1" ht="18.75" customHeight="1">
      <c r="A45" s="1195" t="s">
        <v>831</v>
      </c>
      <c r="B45" s="1195"/>
      <c r="C45" s="1195"/>
      <c r="D45" s="2"/>
      <c r="E45" s="2"/>
      <c r="F45" s="2"/>
      <c r="G45" s="614"/>
      <c r="H45" s="919"/>
      <c r="I45" s="5"/>
      <c r="J45" s="614"/>
      <c r="K45" s="919" t="s">
        <v>832</v>
      </c>
      <c r="L45" s="5"/>
      <c r="M45"/>
      <c r="N45" s="1857"/>
      <c r="O45" s="1857"/>
      <c r="P45" s="1852"/>
      <c r="Q45" s="1853"/>
      <c r="R45" s="1852"/>
      <c r="S45" s="1852"/>
      <c r="T45" s="1852"/>
      <c r="U45" s="1858"/>
    </row>
    <row r="46" spans="1:21" s="1859" customFormat="1" ht="20.25">
      <c r="A46" s="1856"/>
      <c r="B46" s="1856"/>
      <c r="C46" s="1856"/>
      <c r="D46" s="1856"/>
      <c r="E46" s="1856"/>
      <c r="F46" s="1856"/>
      <c r="G46" s="1856"/>
      <c r="H46" s="1856"/>
      <c r="I46" s="1856"/>
      <c r="J46" s="1857"/>
      <c r="K46" s="1857"/>
      <c r="L46" s="1857"/>
      <c r="M46" s="1857"/>
      <c r="N46" s="1857"/>
      <c r="O46" s="1857"/>
      <c r="P46" s="1852"/>
      <c r="Q46" s="1853"/>
      <c r="R46" s="1852"/>
      <c r="S46" s="1852"/>
      <c r="T46" s="1852"/>
      <c r="U46" s="1858"/>
    </row>
  </sheetData>
  <sheetProtection/>
  <mergeCells count="13">
    <mergeCell ref="B32:F32"/>
    <mergeCell ref="B25:F25"/>
    <mergeCell ref="B26:F26"/>
    <mergeCell ref="B29:F29"/>
    <mergeCell ref="B30:F30"/>
    <mergeCell ref="A8:M8"/>
    <mergeCell ref="A9:M9"/>
    <mergeCell ref="B15:F15"/>
    <mergeCell ref="H13:J14"/>
    <mergeCell ref="K13:M14"/>
    <mergeCell ref="B28:F28"/>
    <mergeCell ref="C12:D12"/>
    <mergeCell ref="G16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E1455"/>
  <sheetViews>
    <sheetView view="pageBreakPreview" zoomScaleNormal="75" zoomScaleSheetLayoutView="100" zoomScalePageLayoutView="0" workbookViewId="0" topLeftCell="A383">
      <selection activeCell="AA22" sqref="AA22"/>
    </sheetView>
  </sheetViews>
  <sheetFormatPr defaultColWidth="9.140625" defaultRowHeight="12.75"/>
  <cols>
    <col min="1" max="1" width="4.140625" style="1" customWidth="1"/>
    <col min="2" max="2" width="0.9921875" style="2" customWidth="1"/>
    <col min="3" max="3" width="14.421875" style="2" customWidth="1"/>
    <col min="4" max="4" width="11.28125" style="2" customWidth="1"/>
    <col min="5" max="5" width="20.28125" style="2" customWidth="1"/>
    <col min="6" max="6" width="8.7109375" style="2" customWidth="1"/>
    <col min="7" max="7" width="9.00390625" style="2" customWidth="1"/>
    <col min="8" max="8" width="23.8515625" style="2" customWidth="1"/>
    <col min="9" max="9" width="14.8515625" style="539" bestFit="1" customWidth="1"/>
    <col min="10" max="10" width="9.28125" style="614" hidden="1" customWidth="1"/>
    <col min="11" max="11" width="12.421875" style="6" hidden="1" customWidth="1"/>
    <col min="12" max="12" width="13.8515625" style="5" hidden="1" customWidth="1"/>
    <col min="13" max="13" width="8.421875" style="614" customWidth="1"/>
    <col min="14" max="14" width="9.7109375" style="6" customWidth="1"/>
    <col min="15" max="15" width="11.00390625" style="5" customWidth="1"/>
    <col min="16" max="16" width="10.7109375" style="5" customWidth="1"/>
    <col min="17" max="17" width="9.140625" style="5" customWidth="1"/>
    <col min="18" max="22" width="9.140625" style="2509" customWidth="1"/>
    <col min="23" max="23" width="9.140625" style="2523" customWidth="1"/>
    <col min="24" max="24" width="10.28125" style="2510" customWidth="1"/>
    <col min="25" max="26" width="9.140625" style="2509" customWidth="1"/>
  </cols>
  <sheetData>
    <row r="1" spans="1:29" s="943" customFormat="1" ht="30" hidden="1">
      <c r="A1" s="1058"/>
      <c r="B1" s="727"/>
      <c r="C1" s="1068" t="s">
        <v>333</v>
      </c>
      <c r="D1" s="1059"/>
      <c r="E1" s="1059"/>
      <c r="F1" s="1059"/>
      <c r="G1" s="1059"/>
      <c r="H1" s="1059"/>
      <c r="I1" s="1060"/>
      <c r="J1" s="1061"/>
      <c r="K1" s="1062"/>
      <c r="L1" s="1063"/>
      <c r="M1" s="1061"/>
      <c r="N1" s="1062"/>
      <c r="O1" s="1063"/>
      <c r="P1" s="1063"/>
      <c r="Q1" s="1063"/>
      <c r="R1" s="2507"/>
      <c r="S1" s="2507"/>
      <c r="T1" s="2507"/>
      <c r="U1" s="2507"/>
      <c r="V1" s="2507"/>
      <c r="W1" s="2523"/>
      <c r="X1" s="2508"/>
      <c r="Y1" s="2507"/>
      <c r="Z1" s="2507"/>
      <c r="AA1" s="1064"/>
      <c r="AB1" s="1064"/>
      <c r="AC1" s="1064"/>
    </row>
    <row r="2" spans="1:29" ht="12.75" hidden="1">
      <c r="A2" s="1058"/>
      <c r="B2" s="727"/>
      <c r="C2" s="727"/>
      <c r="D2" s="727"/>
      <c r="E2" s="727"/>
      <c r="F2" s="727"/>
      <c r="G2" s="727"/>
      <c r="H2" s="727"/>
      <c r="I2" s="742"/>
      <c r="J2" s="1065"/>
      <c r="K2" s="1066"/>
      <c r="L2" s="1067"/>
      <c r="M2" s="1065"/>
      <c r="N2" s="1066"/>
      <c r="O2" s="1067"/>
      <c r="P2" s="1067"/>
      <c r="Q2" s="1067"/>
      <c r="AA2" s="1064"/>
      <c r="AB2" s="1064"/>
      <c r="AC2" s="1064"/>
    </row>
    <row r="3" spans="1:29" ht="12.75" hidden="1">
      <c r="A3" s="1058"/>
      <c r="B3" s="727"/>
      <c r="C3" s="727"/>
      <c r="D3" s="727"/>
      <c r="E3" s="727"/>
      <c r="F3" s="727"/>
      <c r="G3" s="727"/>
      <c r="H3" s="727"/>
      <c r="I3" s="742"/>
      <c r="J3" s="1065"/>
      <c r="K3" s="1066"/>
      <c r="L3" s="1067"/>
      <c r="M3" s="1065"/>
      <c r="N3" s="1066"/>
      <c r="O3" s="1067"/>
      <c r="P3" s="1067"/>
      <c r="Q3" s="1067"/>
      <c r="AA3" s="1064"/>
      <c r="AB3" s="1064"/>
      <c r="AC3" s="1064"/>
    </row>
    <row r="4" spans="9:24" ht="15">
      <c r="I4" s="4"/>
      <c r="J4" s="957"/>
      <c r="K4" s="3"/>
      <c r="L4" s="3"/>
      <c r="M4" s="957" t="s">
        <v>178</v>
      </c>
      <c r="N4" s="3"/>
      <c r="O4" s="3"/>
      <c r="X4" s="2511" t="s">
        <v>178</v>
      </c>
    </row>
    <row r="5" spans="9:24" ht="15">
      <c r="I5" s="4"/>
      <c r="J5" s="957"/>
      <c r="K5" s="3"/>
      <c r="L5" s="958"/>
      <c r="M5" s="957"/>
      <c r="N5" s="3"/>
      <c r="O5" s="1599" t="s">
        <v>437</v>
      </c>
      <c r="X5" s="2511"/>
    </row>
    <row r="6" spans="9:24" ht="15">
      <c r="I6" s="4"/>
      <c r="J6" s="4"/>
      <c r="K6" s="3"/>
      <c r="L6" s="958"/>
      <c r="M6" s="4"/>
      <c r="N6" s="3"/>
      <c r="O6" s="958" t="s">
        <v>405</v>
      </c>
      <c r="X6" s="2512"/>
    </row>
    <row r="7" spans="9:24" ht="15">
      <c r="I7" s="4"/>
      <c r="J7" s="1393"/>
      <c r="K7" s="4"/>
      <c r="L7" s="958"/>
      <c r="M7" s="959">
        <v>1</v>
      </c>
      <c r="N7" s="960" t="s">
        <v>520</v>
      </c>
      <c r="O7" s="961" t="s">
        <v>374</v>
      </c>
      <c r="X7" s="2535">
        <v>29</v>
      </c>
    </row>
    <row r="8" ht="12.75"/>
    <row r="9" spans="1:24" ht="25.5" hidden="1">
      <c r="A9" s="2221" t="s">
        <v>438</v>
      </c>
      <c r="B9" s="2221"/>
      <c r="C9" s="2221"/>
      <c r="D9" s="2221"/>
      <c r="E9" s="2221"/>
      <c r="F9" s="2221"/>
      <c r="G9" s="2221"/>
      <c r="H9" s="2221"/>
      <c r="I9" s="2221"/>
      <c r="J9" s="2221"/>
      <c r="K9" s="2221"/>
      <c r="L9" s="2221"/>
      <c r="M9" s="5"/>
      <c r="N9" s="5"/>
      <c r="X9" s="2509"/>
    </row>
    <row r="10" spans="1:24" ht="18.75">
      <c r="A10" s="2223" t="s">
        <v>439</v>
      </c>
      <c r="B10" s="2223"/>
      <c r="C10" s="2223"/>
      <c r="D10" s="2223"/>
      <c r="E10" s="2223"/>
      <c r="F10" s="2223"/>
      <c r="G10" s="2223"/>
      <c r="H10" s="2223"/>
      <c r="I10" s="2223"/>
      <c r="J10" s="2223"/>
      <c r="K10" s="2223"/>
      <c r="L10" s="2223"/>
      <c r="M10" s="2223"/>
      <c r="N10" s="2223"/>
      <c r="O10" s="2223"/>
      <c r="X10" s="2509"/>
    </row>
    <row r="11" spans="1:24" ht="18.75">
      <c r="A11" s="2223" t="s">
        <v>440</v>
      </c>
      <c r="B11" s="2223"/>
      <c r="C11" s="2223"/>
      <c r="D11" s="2223"/>
      <c r="E11" s="2223"/>
      <c r="F11" s="2223"/>
      <c r="G11" s="2223"/>
      <c r="H11" s="2223"/>
      <c r="I11" s="2223"/>
      <c r="J11" s="2223"/>
      <c r="K11" s="2223"/>
      <c r="L11" s="2223"/>
      <c r="M11" s="2223"/>
      <c r="N11" s="2223"/>
      <c r="O11" s="2223"/>
      <c r="X11" s="2509"/>
    </row>
    <row r="12" spans="1:24" ht="18.75">
      <c r="A12" s="143"/>
      <c r="B12" s="143"/>
      <c r="C12" s="143"/>
      <c r="D12" s="143"/>
      <c r="E12" s="143"/>
      <c r="F12" s="143"/>
      <c r="G12" s="143"/>
      <c r="H12" s="143"/>
      <c r="I12" s="143"/>
      <c r="J12" s="613"/>
      <c r="K12" s="624"/>
      <c r="L12" s="143"/>
      <c r="M12" s="613"/>
      <c r="N12" s="624"/>
      <c r="O12" s="143"/>
      <c r="X12" s="2513"/>
    </row>
    <row r="13" spans="3:4" ht="15">
      <c r="C13" s="7" t="s">
        <v>441</v>
      </c>
      <c r="D13" s="8" t="s">
        <v>521</v>
      </c>
    </row>
    <row r="14" spans="1:15" ht="15" hidden="1">
      <c r="A14" s="1384"/>
      <c r="B14" s="542"/>
      <c r="C14" s="1378"/>
      <c r="D14" s="1379"/>
      <c r="E14" s="543"/>
      <c r="F14" s="543"/>
      <c r="G14" s="543"/>
      <c r="H14" s="1380"/>
      <c r="I14" s="541"/>
      <c r="J14" s="2196" t="s">
        <v>485</v>
      </c>
      <c r="K14" s="2196"/>
      <c r="L14" s="2196"/>
      <c r="M14" s="2190" t="s">
        <v>498</v>
      </c>
      <c r="N14" s="2190"/>
      <c r="O14" s="2190"/>
    </row>
    <row r="15" spans="1:15" ht="15" hidden="1">
      <c r="A15" s="42"/>
      <c r="B15" s="43"/>
      <c r="C15" s="7"/>
      <c r="D15" s="8"/>
      <c r="H15" s="1381"/>
      <c r="I15" s="94"/>
      <c r="J15" s="2222"/>
      <c r="K15" s="2222"/>
      <c r="L15" s="2222"/>
      <c r="M15" s="2202"/>
      <c r="N15" s="2202"/>
      <c r="O15" s="2202"/>
    </row>
    <row r="16" spans="1:26" s="9" customFormat="1" ht="12.75">
      <c r="A16" s="541"/>
      <c r="B16" s="542"/>
      <c r="C16" s="543"/>
      <c r="D16" s="543"/>
      <c r="E16" s="543"/>
      <c r="F16" s="543"/>
      <c r="G16" s="543"/>
      <c r="H16" s="1380"/>
      <c r="I16" s="541"/>
      <c r="J16" s="615"/>
      <c r="K16" s="1898" t="s">
        <v>442</v>
      </c>
      <c r="L16" s="1899" t="s">
        <v>443</v>
      </c>
      <c r="M16" s="615"/>
      <c r="N16" s="1898" t="s">
        <v>442</v>
      </c>
      <c r="O16" s="1899" t="s">
        <v>443</v>
      </c>
      <c r="R16" s="2516"/>
      <c r="S16" s="2516"/>
      <c r="T16" s="2516"/>
      <c r="U16" s="2516"/>
      <c r="V16" s="2516"/>
      <c r="W16" s="2508"/>
      <c r="X16" s="2517"/>
      <c r="Y16" s="2516"/>
      <c r="Z16" s="2516"/>
    </row>
    <row r="17" spans="1:26" s="9" customFormat="1" ht="12.75">
      <c r="A17" s="540" t="s">
        <v>444</v>
      </c>
      <c r="B17" s="43"/>
      <c r="C17" s="2"/>
      <c r="D17" s="2"/>
      <c r="E17" s="539" t="s">
        <v>445</v>
      </c>
      <c r="F17" s="2"/>
      <c r="G17" s="2"/>
      <c r="H17" s="1381"/>
      <c r="I17" s="94" t="s">
        <v>446</v>
      </c>
      <c r="J17" s="616" t="s">
        <v>447</v>
      </c>
      <c r="K17" s="105" t="s">
        <v>448</v>
      </c>
      <c r="L17" s="61" t="s">
        <v>449</v>
      </c>
      <c r="M17" s="616" t="s">
        <v>447</v>
      </c>
      <c r="N17" s="105" t="s">
        <v>448</v>
      </c>
      <c r="O17" s="61" t="s">
        <v>449</v>
      </c>
      <c r="R17" s="2516"/>
      <c r="S17" s="2516"/>
      <c r="T17" s="2516"/>
      <c r="U17" s="2516"/>
      <c r="V17" s="2516"/>
      <c r="W17" s="2508"/>
      <c r="X17" s="2517" t="s">
        <v>447</v>
      </c>
      <c r="Y17" s="2516"/>
      <c r="Z17" s="2516"/>
    </row>
    <row r="18" spans="1:26" s="12" customFormat="1" ht="12.75">
      <c r="A18" s="540" t="s">
        <v>450</v>
      </c>
      <c r="B18" s="544"/>
      <c r="C18" s="111"/>
      <c r="D18" s="111"/>
      <c r="E18" s="111"/>
      <c r="F18" s="545"/>
      <c r="G18" s="545"/>
      <c r="H18" s="1382"/>
      <c r="I18" s="540" t="s">
        <v>451</v>
      </c>
      <c r="J18" s="617"/>
      <c r="K18" s="105" t="s">
        <v>452</v>
      </c>
      <c r="L18" s="61" t="s">
        <v>453</v>
      </c>
      <c r="M18" s="617"/>
      <c r="N18" s="105" t="s">
        <v>452</v>
      </c>
      <c r="O18" s="61" t="s">
        <v>453</v>
      </c>
      <c r="R18" s="2531"/>
      <c r="S18" s="2531"/>
      <c r="T18" s="2531"/>
      <c r="U18" s="2531"/>
      <c r="V18" s="2531"/>
      <c r="W18" s="2532"/>
      <c r="X18" s="2536"/>
      <c r="Y18" s="2531"/>
      <c r="Z18" s="2531"/>
    </row>
    <row r="19" spans="1:26" s="12" customFormat="1" ht="14.25" customHeight="1">
      <c r="A19" s="546"/>
      <c r="B19" s="141"/>
      <c r="C19" s="89"/>
      <c r="D19" s="89"/>
      <c r="E19" s="89"/>
      <c r="F19" s="89"/>
      <c r="G19" s="89"/>
      <c r="H19" s="1383"/>
      <c r="I19" s="546"/>
      <c r="J19" s="618" t="s">
        <v>457</v>
      </c>
      <c r="K19" s="628" t="s">
        <v>457</v>
      </c>
      <c r="L19" s="547" t="s">
        <v>457</v>
      </c>
      <c r="M19" s="618" t="s">
        <v>457</v>
      </c>
      <c r="N19" s="628" t="s">
        <v>457</v>
      </c>
      <c r="O19" s="547" t="s">
        <v>457</v>
      </c>
      <c r="R19" s="2531"/>
      <c r="S19" s="2531"/>
      <c r="T19" s="2531"/>
      <c r="U19" s="2531"/>
      <c r="V19" s="2531"/>
      <c r="W19" s="2532"/>
      <c r="X19" s="2537" t="s">
        <v>457</v>
      </c>
      <c r="Y19" s="2531"/>
      <c r="Z19" s="2531"/>
    </row>
    <row r="20" spans="1:26" s="19" customFormat="1" ht="18.75">
      <c r="A20" s="1011">
        <v>1</v>
      </c>
      <c r="B20" s="145" t="s">
        <v>458</v>
      </c>
      <c r="C20" s="101"/>
      <c r="D20" s="3"/>
      <c r="E20" s="3"/>
      <c r="F20" s="3"/>
      <c r="G20" s="3"/>
      <c r="H20" s="2"/>
      <c r="I20" s="94"/>
      <c r="J20" s="619"/>
      <c r="K20" s="629"/>
      <c r="L20" s="18"/>
      <c r="M20" s="619"/>
      <c r="N20" s="629"/>
      <c r="O20" s="18"/>
      <c r="P20" s="6"/>
      <c r="Q20" s="6"/>
      <c r="R20" s="2509"/>
      <c r="S20" s="2509"/>
      <c r="T20" s="2509"/>
      <c r="U20" s="2509"/>
      <c r="V20" s="2509"/>
      <c r="W20" s="2523"/>
      <c r="X20" s="2510"/>
      <c r="Y20" s="2509"/>
      <c r="Z20" s="2509"/>
    </row>
    <row r="21" spans="1:26" s="19" customFormat="1" ht="16.5">
      <c r="A21" s="15"/>
      <c r="B21" s="16"/>
      <c r="C21" s="1531" t="s">
        <v>183</v>
      </c>
      <c r="D21" s="3"/>
      <c r="E21" s="3"/>
      <c r="F21" s="3"/>
      <c r="G21" s="3"/>
      <c r="H21" s="2"/>
      <c r="I21" s="94"/>
      <c r="J21" s="619"/>
      <c r="K21" s="629"/>
      <c r="L21" s="18"/>
      <c r="M21" s="619"/>
      <c r="N21" s="629"/>
      <c r="O21" s="18"/>
      <c r="P21" s="6"/>
      <c r="Q21" s="6"/>
      <c r="R21" s="2509"/>
      <c r="S21" s="2509"/>
      <c r="T21" s="2509"/>
      <c r="U21" s="2509"/>
      <c r="V21" s="2509"/>
      <c r="W21" s="2523"/>
      <c r="X21" s="2510"/>
      <c r="Y21" s="2509"/>
      <c r="Z21" s="2509"/>
    </row>
    <row r="22" spans="1:26" s="19" customFormat="1" ht="18.75">
      <c r="A22" s="59">
        <v>1</v>
      </c>
      <c r="B22" s="16"/>
      <c r="C22" s="632" t="s">
        <v>184</v>
      </c>
      <c r="D22" s="3"/>
      <c r="E22" s="3"/>
      <c r="F22" s="3"/>
      <c r="G22" s="3"/>
      <c r="H22" s="2"/>
      <c r="I22" s="94" t="s">
        <v>190</v>
      </c>
      <c r="J22" s="1141">
        <v>29600</v>
      </c>
      <c r="K22" s="1386">
        <f>'[1]ОМР'!$G$12</f>
        <v>0.023000000000000003</v>
      </c>
      <c r="L22" s="1324">
        <f>SUM(J22:K22)</f>
        <v>29600.023</v>
      </c>
      <c r="M22" s="1462">
        <f>J22/10000</f>
        <v>2.96</v>
      </c>
      <c r="N22" s="1463">
        <f>K22</f>
        <v>0.023000000000000003</v>
      </c>
      <c r="O22" s="1440">
        <f>SUM(M22:N22)</f>
        <v>2.983</v>
      </c>
      <c r="P22" s="6"/>
      <c r="Q22" s="6"/>
      <c r="R22" s="2509"/>
      <c r="S22" s="2509"/>
      <c r="T22" s="2509"/>
      <c r="U22" s="2509"/>
      <c r="V22" s="2509"/>
      <c r="W22" s="2523">
        <f>X22*1.2</f>
        <v>29640</v>
      </c>
      <c r="X22" s="2538">
        <v>24700</v>
      </c>
      <c r="Y22" s="2509"/>
      <c r="Z22" s="2509"/>
    </row>
    <row r="23" spans="1:26" s="19" customFormat="1" ht="18.75">
      <c r="A23" s="59">
        <v>2</v>
      </c>
      <c r="B23" s="16"/>
      <c r="C23" s="632" t="s">
        <v>185</v>
      </c>
      <c r="D23" s="3"/>
      <c r="E23" s="3"/>
      <c r="F23" s="3"/>
      <c r="G23" s="3"/>
      <c r="H23" s="2"/>
      <c r="I23" s="94" t="s">
        <v>190</v>
      </c>
      <c r="J23" s="1141">
        <v>16200</v>
      </c>
      <c r="K23" s="1386">
        <f>'[1]ОМР'!$G$17</f>
        <v>0.023000000000000003</v>
      </c>
      <c r="L23" s="1324">
        <f>SUM(J23:K23)</f>
        <v>16200.023</v>
      </c>
      <c r="M23" s="1462">
        <f>J23/10000</f>
        <v>1.62</v>
      </c>
      <c r="N23" s="1463">
        <f>K23</f>
        <v>0.023000000000000003</v>
      </c>
      <c r="O23" s="1440">
        <f>SUM(M23:N23)</f>
        <v>1.643</v>
      </c>
      <c r="P23" s="6"/>
      <c r="Q23" s="6"/>
      <c r="R23" s="2509"/>
      <c r="S23" s="2509"/>
      <c r="T23" s="2509"/>
      <c r="U23" s="2509"/>
      <c r="V23" s="2509"/>
      <c r="W23" s="2523">
        <f aca="true" t="shared" si="0" ref="W23:W85">X23*1.2</f>
        <v>16200</v>
      </c>
      <c r="X23" s="2538">
        <v>13500</v>
      </c>
      <c r="Y23" s="2509"/>
      <c r="Z23" s="2509"/>
    </row>
    <row r="24" spans="1:26" s="19" customFormat="1" ht="18">
      <c r="A24" s="59"/>
      <c r="B24" s="16"/>
      <c r="C24" s="1531" t="s">
        <v>186</v>
      </c>
      <c r="D24" s="3"/>
      <c r="E24" s="3"/>
      <c r="F24" s="3"/>
      <c r="G24" s="3"/>
      <c r="H24" s="2"/>
      <c r="I24" s="94"/>
      <c r="J24" s="1141"/>
      <c r="K24" s="1386"/>
      <c r="L24" s="1325"/>
      <c r="M24" s="1462"/>
      <c r="N24" s="1463"/>
      <c r="O24" s="1441"/>
      <c r="P24" s="6"/>
      <c r="Q24" s="6"/>
      <c r="R24" s="2509"/>
      <c r="S24" s="2509"/>
      <c r="T24" s="2509"/>
      <c r="U24" s="2509"/>
      <c r="V24" s="2509"/>
      <c r="W24" s="2523">
        <f t="shared" si="0"/>
        <v>0</v>
      </c>
      <c r="X24" s="2538"/>
      <c r="Y24" s="2509"/>
      <c r="Z24" s="2509"/>
    </row>
    <row r="25" spans="1:26" s="19" customFormat="1" ht="18.75">
      <c r="A25" s="59">
        <v>3</v>
      </c>
      <c r="B25" s="16"/>
      <c r="C25" s="632" t="s">
        <v>187</v>
      </c>
      <c r="D25" s="3"/>
      <c r="E25" s="3"/>
      <c r="F25" s="3"/>
      <c r="G25" s="3"/>
      <c r="H25" s="2"/>
      <c r="I25" s="41" t="s">
        <v>460</v>
      </c>
      <c r="J25" s="1141">
        <v>16200</v>
      </c>
      <c r="K25" s="1386">
        <f>'[1]ОМР'!$G$24</f>
        <v>0.037000000000000005</v>
      </c>
      <c r="L25" s="1324">
        <f>SUM(J25:K25)</f>
        <v>16200.037</v>
      </c>
      <c r="M25" s="1462">
        <f>J25/10000</f>
        <v>1.62</v>
      </c>
      <c r="N25" s="1463">
        <f>K25</f>
        <v>0.037000000000000005</v>
      </c>
      <c r="O25" s="1440">
        <f>SUM(M25:N25)</f>
        <v>1.657</v>
      </c>
      <c r="P25" s="6"/>
      <c r="Q25" s="6"/>
      <c r="R25" s="2509"/>
      <c r="S25" s="2509"/>
      <c r="T25" s="2509"/>
      <c r="U25" s="2509"/>
      <c r="V25" s="2509"/>
      <c r="W25" s="2523">
        <f t="shared" si="0"/>
        <v>16200</v>
      </c>
      <c r="X25" s="2538">
        <v>13500</v>
      </c>
      <c r="Y25" s="2509"/>
      <c r="Z25" s="2509"/>
    </row>
    <row r="26" spans="1:26" s="19" customFormat="1" ht="18">
      <c r="A26" s="15"/>
      <c r="B26" s="16"/>
      <c r="C26" s="632" t="s">
        <v>188</v>
      </c>
      <c r="D26" s="3"/>
      <c r="E26" s="3"/>
      <c r="F26" s="3"/>
      <c r="G26" s="3"/>
      <c r="H26" s="2"/>
      <c r="I26" s="94"/>
      <c r="J26" s="1141"/>
      <c r="K26" s="1392"/>
      <c r="L26" s="1325"/>
      <c r="M26" s="1462"/>
      <c r="N26" s="1464"/>
      <c r="O26" s="1441"/>
      <c r="P26" s="6"/>
      <c r="Q26" s="6"/>
      <c r="R26" s="2509"/>
      <c r="S26" s="2509"/>
      <c r="T26" s="2509"/>
      <c r="U26" s="2509"/>
      <c r="V26" s="2509"/>
      <c r="W26" s="2523">
        <f t="shared" si="0"/>
        <v>0</v>
      </c>
      <c r="X26" s="2538"/>
      <c r="Y26" s="2509"/>
      <c r="Z26" s="2509"/>
    </row>
    <row r="27" spans="1:26" s="19" customFormat="1" ht="18">
      <c r="A27" s="15"/>
      <c r="B27" s="16"/>
      <c r="C27" s="1531" t="s">
        <v>189</v>
      </c>
      <c r="D27" s="3"/>
      <c r="E27" s="3"/>
      <c r="F27" s="3"/>
      <c r="G27" s="3"/>
      <c r="H27" s="2"/>
      <c r="I27" s="94"/>
      <c r="J27" s="1141"/>
      <c r="K27" s="1392"/>
      <c r="L27" s="1325"/>
      <c r="M27" s="1462"/>
      <c r="N27" s="1464"/>
      <c r="O27" s="1441"/>
      <c r="P27" s="6"/>
      <c r="Q27" s="6"/>
      <c r="R27" s="2509"/>
      <c r="S27" s="2509"/>
      <c r="T27" s="2509"/>
      <c r="U27" s="2509"/>
      <c r="V27" s="2509"/>
      <c r="W27" s="2523">
        <f t="shared" si="0"/>
        <v>0</v>
      </c>
      <c r="X27" s="2538"/>
      <c r="Y27" s="2509"/>
      <c r="Z27" s="2509"/>
    </row>
    <row r="28" spans="1:26" s="19" customFormat="1" ht="18.75">
      <c r="A28" s="59">
        <v>4</v>
      </c>
      <c r="B28" s="20"/>
      <c r="C28" s="126" t="s">
        <v>459</v>
      </c>
      <c r="D28" s="3"/>
      <c r="E28" s="3"/>
      <c r="F28" s="3"/>
      <c r="G28" s="3"/>
      <c r="H28" s="2"/>
      <c r="I28" s="41" t="s">
        <v>460</v>
      </c>
      <c r="J28" s="1141">
        <v>31600</v>
      </c>
      <c r="K28" s="1386">
        <f>'[1]ОМР'!$G$35</f>
        <v>0.34500000000000003</v>
      </c>
      <c r="L28" s="1324">
        <f>SUM(J28:K28)</f>
        <v>31600.345</v>
      </c>
      <c r="M28" s="1462">
        <f>J28/10000</f>
        <v>3.16</v>
      </c>
      <c r="N28" s="1463">
        <f>K28</f>
        <v>0.34500000000000003</v>
      </c>
      <c r="O28" s="1440">
        <f>SUM(M28:N28)</f>
        <v>3.5050000000000003</v>
      </c>
      <c r="P28" s="22"/>
      <c r="Q28" s="6"/>
      <c r="R28" s="2509"/>
      <c r="S28" s="2509"/>
      <c r="T28" s="2509"/>
      <c r="U28" s="2509"/>
      <c r="V28" s="2509"/>
      <c r="W28" s="2523">
        <f t="shared" si="0"/>
        <v>31560</v>
      </c>
      <c r="X28" s="2538">
        <v>26300</v>
      </c>
      <c r="Y28" s="2509"/>
      <c r="Z28" s="2509"/>
    </row>
    <row r="29" spans="1:26" s="19" customFormat="1" ht="18.75">
      <c r="A29" s="59">
        <v>5</v>
      </c>
      <c r="B29" s="20"/>
      <c r="C29" s="632" t="s">
        <v>191</v>
      </c>
      <c r="D29" s="3"/>
      <c r="E29" s="3"/>
      <c r="F29" s="3"/>
      <c r="G29" s="3"/>
      <c r="H29" s="2"/>
      <c r="I29" s="41" t="s">
        <v>460</v>
      </c>
      <c r="J29" s="1141">
        <v>23800</v>
      </c>
      <c r="K29" s="1386">
        <f>'[1]ОМР'!$G$47</f>
        <v>1.7455</v>
      </c>
      <c r="L29" s="1324">
        <f>SUM(J29:K29)</f>
        <v>23801.7455</v>
      </c>
      <c r="M29" s="1462">
        <f>J29/10000</f>
        <v>2.38</v>
      </c>
      <c r="N29" s="1463">
        <f>K29</f>
        <v>1.7455</v>
      </c>
      <c r="O29" s="1440">
        <f>SUM(M29:N29)</f>
        <v>4.1255</v>
      </c>
      <c r="P29" s="22"/>
      <c r="Q29" s="6"/>
      <c r="R29" s="2514">
        <f>L29-19350</f>
        <v>4451.745500000001</v>
      </c>
      <c r="S29" s="2509"/>
      <c r="T29" s="2509"/>
      <c r="U29" s="2509"/>
      <c r="V29" s="2509"/>
      <c r="W29" s="2523">
        <f t="shared" si="0"/>
        <v>23760</v>
      </c>
      <c r="X29" s="2538">
        <v>19800</v>
      </c>
      <c r="Y29" s="2509"/>
      <c r="Z29" s="2509"/>
    </row>
    <row r="30" spans="1:26" s="19" customFormat="1" ht="18.75">
      <c r="A30" s="59">
        <v>6</v>
      </c>
      <c r="B30" s="20"/>
      <c r="C30" s="632" t="s">
        <v>192</v>
      </c>
      <c r="D30" s="3"/>
      <c r="E30" s="3"/>
      <c r="F30" s="3"/>
      <c r="G30" s="3"/>
      <c r="H30" s="2"/>
      <c r="I30" s="41" t="s">
        <v>460</v>
      </c>
      <c r="J30" s="1141">
        <v>23800</v>
      </c>
      <c r="K30" s="1386">
        <f>'[1]ОМР'!$G$57</f>
        <v>1.01925</v>
      </c>
      <c r="L30" s="1324">
        <f>SUM(J30:K30)</f>
        <v>23801.01925</v>
      </c>
      <c r="M30" s="1462">
        <f>J30/10000</f>
        <v>2.38</v>
      </c>
      <c r="N30" s="1463">
        <f>K30</f>
        <v>1.01925</v>
      </c>
      <c r="O30" s="1440">
        <f>SUM(M30:N30)</f>
        <v>3.39925</v>
      </c>
      <c r="P30" s="22"/>
      <c r="Q30" s="6"/>
      <c r="R30" s="2509"/>
      <c r="S30" s="2509"/>
      <c r="T30" s="2509"/>
      <c r="U30" s="2509"/>
      <c r="V30" s="2509"/>
      <c r="W30" s="2523">
        <f t="shared" si="0"/>
        <v>23760</v>
      </c>
      <c r="X30" s="2538">
        <v>19800</v>
      </c>
      <c r="Y30" s="2509"/>
      <c r="Z30" s="2509"/>
    </row>
    <row r="31" spans="1:26" s="19" customFormat="1" ht="18.75">
      <c r="A31" s="59">
        <v>7</v>
      </c>
      <c r="B31" s="20"/>
      <c r="C31" s="632" t="s">
        <v>193</v>
      </c>
      <c r="D31" s="3"/>
      <c r="E31" s="3"/>
      <c r="F31" s="3"/>
      <c r="G31" s="3"/>
      <c r="H31" s="2"/>
      <c r="I31" s="41" t="s">
        <v>460</v>
      </c>
      <c r="J31" s="1141">
        <v>31600</v>
      </c>
      <c r="K31" s="1386">
        <f>'[1]ОМР'!$G$70</f>
        <v>1.7805000000000002</v>
      </c>
      <c r="L31" s="1324">
        <f>SUM(J31:K31)</f>
        <v>31601.7805</v>
      </c>
      <c r="M31" s="1462">
        <f>J31/10000</f>
        <v>3.16</v>
      </c>
      <c r="N31" s="1463">
        <f>K31</f>
        <v>1.7805000000000002</v>
      </c>
      <c r="O31" s="1440">
        <f>SUM(M31:N31)</f>
        <v>4.9405</v>
      </c>
      <c r="P31" s="22"/>
      <c r="Q31" s="6"/>
      <c r="R31" s="2509"/>
      <c r="S31" s="2509"/>
      <c r="T31" s="2509"/>
      <c r="U31" s="2509"/>
      <c r="V31" s="2509"/>
      <c r="W31" s="2523">
        <f t="shared" si="0"/>
        <v>31560</v>
      </c>
      <c r="X31" s="2538">
        <v>26300</v>
      </c>
      <c r="Y31" s="2509"/>
      <c r="Z31" s="2509"/>
    </row>
    <row r="32" spans="1:24" ht="18">
      <c r="A32" s="11"/>
      <c r="B32" s="20"/>
      <c r="C32" s="21"/>
      <c r="D32" s="3"/>
      <c r="E32" s="3"/>
      <c r="F32" s="3"/>
      <c r="G32" s="3"/>
      <c r="I32" s="41"/>
      <c r="J32" s="1141"/>
      <c r="K32" s="1386"/>
      <c r="L32" s="1326"/>
      <c r="M32" s="1462"/>
      <c r="N32" s="1463"/>
      <c r="O32" s="1442"/>
      <c r="P32" s="23"/>
      <c r="W32" s="2523">
        <f t="shared" si="0"/>
        <v>0</v>
      </c>
      <c r="X32" s="2538"/>
    </row>
    <row r="33" spans="1:26" s="19" customFormat="1" ht="18.75">
      <c r="A33" s="1011">
        <v>2</v>
      </c>
      <c r="B33" s="145" t="s">
        <v>461</v>
      </c>
      <c r="C33" s="101"/>
      <c r="D33" s="3"/>
      <c r="E33" s="3"/>
      <c r="F33" s="3"/>
      <c r="G33" s="3"/>
      <c r="H33" s="2"/>
      <c r="I33" s="41"/>
      <c r="J33" s="1141"/>
      <c r="K33" s="1386"/>
      <c r="L33" s="1327"/>
      <c r="M33" s="1462"/>
      <c r="N33" s="1463"/>
      <c r="O33" s="1441"/>
      <c r="P33" s="22"/>
      <c r="Q33" s="6"/>
      <c r="R33" s="2509"/>
      <c r="S33" s="2509"/>
      <c r="T33" s="2509"/>
      <c r="U33" s="2509"/>
      <c r="V33" s="2509"/>
      <c r="W33" s="2523">
        <f t="shared" si="0"/>
        <v>0</v>
      </c>
      <c r="X33" s="2538"/>
      <c r="Y33" s="2509"/>
      <c r="Z33" s="2509"/>
    </row>
    <row r="34" spans="1:26" s="19" customFormat="1" ht="18.75">
      <c r="A34" s="24" t="s">
        <v>462</v>
      </c>
      <c r="B34" s="25"/>
      <c r="C34" s="126" t="s">
        <v>463</v>
      </c>
      <c r="D34" s="17"/>
      <c r="E34" s="3"/>
      <c r="F34" s="3"/>
      <c r="G34" s="3"/>
      <c r="H34" s="2"/>
      <c r="I34" s="41" t="s">
        <v>460</v>
      </c>
      <c r="J34" s="1141">
        <v>7300</v>
      </c>
      <c r="K34" s="1386">
        <f>'[1]ОМР'!$G$78</f>
        <v>0.9836</v>
      </c>
      <c r="L34" s="1324">
        <f>SUM(J34:K34)</f>
        <v>7300.9836</v>
      </c>
      <c r="M34" s="1462">
        <f>J34/10000</f>
        <v>0.73</v>
      </c>
      <c r="N34" s="1463">
        <f>K34</f>
        <v>0.9836</v>
      </c>
      <c r="O34" s="1440">
        <f>SUM(M34:N34)</f>
        <v>1.7136</v>
      </c>
      <c r="P34" s="22"/>
      <c r="Q34" s="6"/>
      <c r="R34" s="2509"/>
      <c r="S34" s="2509"/>
      <c r="T34" s="2509"/>
      <c r="U34" s="2509"/>
      <c r="V34" s="2509"/>
      <c r="W34" s="2523">
        <f t="shared" si="0"/>
        <v>7320</v>
      </c>
      <c r="X34" s="2538">
        <v>6100</v>
      </c>
      <c r="Y34" s="2509"/>
      <c r="Z34" s="2509"/>
    </row>
    <row r="35" spans="1:26" s="19" customFormat="1" ht="18.75">
      <c r="A35" s="24" t="s">
        <v>464</v>
      </c>
      <c r="B35" s="25"/>
      <c r="C35" s="126" t="s">
        <v>465</v>
      </c>
      <c r="D35" s="17"/>
      <c r="E35" s="3"/>
      <c r="F35" s="3"/>
      <c r="G35" s="3"/>
      <c r="H35" s="2"/>
      <c r="I35" s="41" t="s">
        <v>460</v>
      </c>
      <c r="J35" s="1141">
        <v>7300</v>
      </c>
      <c r="K35" s="1386">
        <f>'[1]ОМР'!$G$85</f>
        <v>0.9836</v>
      </c>
      <c r="L35" s="1324">
        <f>SUM(J35:K35)</f>
        <v>7300.9836</v>
      </c>
      <c r="M35" s="1462">
        <f>J35/10000</f>
        <v>0.73</v>
      </c>
      <c r="N35" s="1463">
        <f>K35</f>
        <v>0.9836</v>
      </c>
      <c r="O35" s="1440">
        <f>SUM(M35:N35)</f>
        <v>1.7136</v>
      </c>
      <c r="P35" s="22"/>
      <c r="Q35" s="6"/>
      <c r="R35" s="2509"/>
      <c r="S35" s="2509"/>
      <c r="T35" s="2509"/>
      <c r="U35" s="2509"/>
      <c r="V35" s="2509"/>
      <c r="W35" s="2523">
        <f t="shared" si="0"/>
        <v>7320</v>
      </c>
      <c r="X35" s="2538">
        <v>6100</v>
      </c>
      <c r="Y35" s="2509"/>
      <c r="Z35" s="2509"/>
    </row>
    <row r="36" spans="1:26" s="19" customFormat="1" ht="18.75">
      <c r="A36" s="11" t="s">
        <v>462</v>
      </c>
      <c r="B36" s="20"/>
      <c r="C36" s="1532" t="s">
        <v>466</v>
      </c>
      <c r="D36" s="3"/>
      <c r="E36" s="3"/>
      <c r="F36" s="3"/>
      <c r="G36" s="3"/>
      <c r="H36" s="2"/>
      <c r="I36" s="41" t="s">
        <v>460</v>
      </c>
      <c r="J36" s="1141">
        <v>23400</v>
      </c>
      <c r="K36" s="1386">
        <f>'[1]ОМР'!$G$91</f>
        <v>0.612</v>
      </c>
      <c r="L36" s="1324">
        <f>SUM(J36:K36)</f>
        <v>23400.612</v>
      </c>
      <c r="M36" s="1462">
        <f>J36/10000</f>
        <v>2.34</v>
      </c>
      <c r="N36" s="1463">
        <f>K36</f>
        <v>0.612</v>
      </c>
      <c r="O36" s="1440">
        <f>SUM(M36:N36)</f>
        <v>2.952</v>
      </c>
      <c r="P36" s="22"/>
      <c r="Q36" s="6"/>
      <c r="R36" s="2509"/>
      <c r="S36" s="2509"/>
      <c r="T36" s="2509"/>
      <c r="U36" s="2509"/>
      <c r="V36" s="2509"/>
      <c r="W36" s="2523">
        <f t="shared" si="0"/>
        <v>23400</v>
      </c>
      <c r="X36" s="2538">
        <v>19500</v>
      </c>
      <c r="Y36" s="2509"/>
      <c r="Z36" s="2509"/>
    </row>
    <row r="37" spans="1:24" ht="18">
      <c r="A37" s="11"/>
      <c r="B37" s="20"/>
      <c r="C37" s="26"/>
      <c r="D37" s="3"/>
      <c r="E37" s="3"/>
      <c r="F37" s="3"/>
      <c r="G37" s="3"/>
      <c r="I37" s="41"/>
      <c r="J37" s="1141"/>
      <c r="K37" s="1386"/>
      <c r="L37" s="1326"/>
      <c r="M37" s="1462"/>
      <c r="N37" s="1463"/>
      <c r="O37" s="1442"/>
      <c r="P37" s="23"/>
      <c r="W37" s="2523">
        <f t="shared" si="0"/>
        <v>0</v>
      </c>
      <c r="X37" s="2538"/>
    </row>
    <row r="38" spans="1:26" s="28" customFormat="1" ht="18.75">
      <c r="A38" s="1011">
        <v>3</v>
      </c>
      <c r="B38" s="145" t="s">
        <v>467</v>
      </c>
      <c r="C38" s="101"/>
      <c r="D38" s="17"/>
      <c r="E38" s="17"/>
      <c r="F38" s="17"/>
      <c r="G38" s="17"/>
      <c r="H38" s="36"/>
      <c r="I38" s="41"/>
      <c r="J38" s="1141"/>
      <c r="K38" s="1386"/>
      <c r="L38" s="1327"/>
      <c r="M38" s="1462"/>
      <c r="N38" s="1463"/>
      <c r="O38" s="1441"/>
      <c r="P38" s="22"/>
      <c r="Q38" s="27"/>
      <c r="R38" s="2509"/>
      <c r="S38" s="2509"/>
      <c r="T38" s="2509"/>
      <c r="U38" s="2509"/>
      <c r="V38" s="2509"/>
      <c r="W38" s="2523">
        <f t="shared" si="0"/>
        <v>0</v>
      </c>
      <c r="X38" s="2538"/>
      <c r="Y38" s="2509"/>
      <c r="Z38" s="2509"/>
    </row>
    <row r="39" spans="1:24" ht="18.75">
      <c r="A39" s="29"/>
      <c r="B39" s="30"/>
      <c r="C39" s="1533" t="s">
        <v>468</v>
      </c>
      <c r="D39" s="17"/>
      <c r="E39" s="17"/>
      <c r="F39" s="17"/>
      <c r="G39" s="17"/>
      <c r="H39" s="17"/>
      <c r="I39" s="41"/>
      <c r="J39" s="1141"/>
      <c r="K39" s="1386"/>
      <c r="L39" s="1324"/>
      <c r="M39" s="1462"/>
      <c r="N39" s="1463"/>
      <c r="O39" s="1440"/>
      <c r="P39" s="31"/>
      <c r="Q39"/>
      <c r="W39" s="2523">
        <f t="shared" si="0"/>
        <v>0</v>
      </c>
      <c r="X39" s="2538"/>
    </row>
    <row r="40" spans="1:24" ht="18.75">
      <c r="A40" s="32">
        <v>1</v>
      </c>
      <c r="B40" s="33"/>
      <c r="C40" s="1532" t="s">
        <v>469</v>
      </c>
      <c r="D40" s="126"/>
      <c r="E40" s="126"/>
      <c r="F40" s="126"/>
      <c r="G40" s="126"/>
      <c r="H40" s="126"/>
      <c r="I40" s="41" t="s">
        <v>460</v>
      </c>
      <c r="J40" s="1141">
        <v>9600</v>
      </c>
      <c r="K40" s="1386">
        <v>0</v>
      </c>
      <c r="L40" s="1324">
        <f>SUM(J40:K40)</f>
        <v>9600</v>
      </c>
      <c r="M40" s="1462">
        <f>J40/10000</f>
        <v>0.96</v>
      </c>
      <c r="N40" s="1463">
        <f>K40</f>
        <v>0</v>
      </c>
      <c r="O40" s="1440">
        <f>SUM(M40:N40)</f>
        <v>0.96</v>
      </c>
      <c r="P40" s="31"/>
      <c r="Q40"/>
      <c r="W40" s="2523">
        <f t="shared" si="0"/>
        <v>9600</v>
      </c>
      <c r="X40" s="2538">
        <v>8000</v>
      </c>
    </row>
    <row r="41" spans="1:24" ht="18.75">
      <c r="A41" s="32">
        <v>2</v>
      </c>
      <c r="B41" s="33"/>
      <c r="C41" s="1532" t="s">
        <v>470</v>
      </c>
      <c r="D41" s="126"/>
      <c r="E41" s="126"/>
      <c r="F41" s="126"/>
      <c r="G41" s="126"/>
      <c r="H41" s="126"/>
      <c r="I41" s="41" t="s">
        <v>460</v>
      </c>
      <c r="J41" s="1141">
        <f>J40</f>
        <v>9600</v>
      </c>
      <c r="K41" s="1386">
        <v>0</v>
      </c>
      <c r="L41" s="1324">
        <f>SUM(J41:K41)</f>
        <v>9600</v>
      </c>
      <c r="M41" s="1462">
        <f>M40</f>
        <v>0.96</v>
      </c>
      <c r="N41" s="1463">
        <v>0</v>
      </c>
      <c r="O41" s="1440">
        <f>SUM(M41:N41)</f>
        <v>0.96</v>
      </c>
      <c r="P41" s="31"/>
      <c r="Q41"/>
      <c r="W41" s="2523">
        <f t="shared" si="0"/>
        <v>9600</v>
      </c>
      <c r="X41" s="2538">
        <f>X40</f>
        <v>8000</v>
      </c>
    </row>
    <row r="42" spans="1:24" ht="18.75">
      <c r="A42" s="32">
        <v>3</v>
      </c>
      <c r="B42" s="33"/>
      <c r="C42" s="1532" t="s">
        <v>471</v>
      </c>
      <c r="D42" s="126"/>
      <c r="E42" s="126"/>
      <c r="F42" s="126"/>
      <c r="G42" s="126"/>
      <c r="H42" s="126"/>
      <c r="I42" s="41" t="s">
        <v>460</v>
      </c>
      <c r="J42" s="1141">
        <f>J41</f>
        <v>9600</v>
      </c>
      <c r="K42" s="1386">
        <v>0</v>
      </c>
      <c r="L42" s="1324">
        <f>SUM(J42:K42)</f>
        <v>9600</v>
      </c>
      <c r="M42" s="1462">
        <f>M41</f>
        <v>0.96</v>
      </c>
      <c r="N42" s="1463">
        <v>0</v>
      </c>
      <c r="O42" s="1440">
        <f>SUM(M42:N42)</f>
        <v>0.96</v>
      </c>
      <c r="P42" s="31"/>
      <c r="Q42"/>
      <c r="W42" s="2523">
        <f t="shared" si="0"/>
        <v>9600</v>
      </c>
      <c r="X42" s="2538">
        <f>X41</f>
        <v>8000</v>
      </c>
    </row>
    <row r="43" spans="1:24" ht="18.75">
      <c r="A43" s="32">
        <v>4</v>
      </c>
      <c r="B43" s="33"/>
      <c r="C43" s="1532" t="s">
        <v>497</v>
      </c>
      <c r="D43" s="126"/>
      <c r="E43" s="126"/>
      <c r="F43" s="126"/>
      <c r="G43" s="126"/>
      <c r="H43" s="126"/>
      <c r="I43" s="41"/>
      <c r="J43" s="1141"/>
      <c r="K43" s="1386"/>
      <c r="L43" s="1324"/>
      <c r="M43" s="1462"/>
      <c r="N43" s="1463"/>
      <c r="O43" s="1440"/>
      <c r="P43" s="31"/>
      <c r="Q43"/>
      <c r="W43" s="2523">
        <f t="shared" si="0"/>
        <v>0</v>
      </c>
      <c r="X43" s="2538"/>
    </row>
    <row r="44" spans="1:24" ht="30" customHeight="1">
      <c r="A44" s="32"/>
      <c r="B44" s="33"/>
      <c r="C44" s="2224" t="s">
        <v>496</v>
      </c>
      <c r="D44" s="2224"/>
      <c r="E44" s="2224"/>
      <c r="F44" s="2224"/>
      <c r="G44" s="2224"/>
      <c r="H44" s="2225"/>
      <c r="I44" s="1534" t="s">
        <v>460</v>
      </c>
      <c r="J44" s="1400">
        <v>14400</v>
      </c>
      <c r="K44" s="1535">
        <v>0</v>
      </c>
      <c r="L44" s="1346">
        <f>SUM(J44:K44)</f>
        <v>14400</v>
      </c>
      <c r="M44" s="1477">
        <f>J44/10000</f>
        <v>1.44</v>
      </c>
      <c r="N44" s="1478">
        <f>K44</f>
        <v>0</v>
      </c>
      <c r="O44" s="1452">
        <f>SUM(M44:N44)</f>
        <v>1.44</v>
      </c>
      <c r="P44" s="31"/>
      <c r="Q44"/>
      <c r="W44" s="2523">
        <f t="shared" si="0"/>
        <v>14400</v>
      </c>
      <c r="X44" s="2538">
        <v>12000</v>
      </c>
    </row>
    <row r="45" spans="1:24" ht="18.75">
      <c r="A45" s="32">
        <v>5</v>
      </c>
      <c r="B45" s="33"/>
      <c r="C45" s="1532" t="s">
        <v>474</v>
      </c>
      <c r="D45" s="126"/>
      <c r="E45" s="126"/>
      <c r="F45" s="126"/>
      <c r="G45" s="126"/>
      <c r="H45" s="126"/>
      <c r="I45" s="41" t="s">
        <v>460</v>
      </c>
      <c r="J45" s="1141">
        <f>J44</f>
        <v>14400</v>
      </c>
      <c r="K45" s="1386">
        <v>0</v>
      </c>
      <c r="L45" s="1324">
        <f>SUM(J45:K45)</f>
        <v>14400</v>
      </c>
      <c r="M45" s="1462">
        <f>M44</f>
        <v>1.44</v>
      </c>
      <c r="N45" s="1463">
        <v>0</v>
      </c>
      <c r="O45" s="1440">
        <f>SUM(M45:N45)</f>
        <v>1.44</v>
      </c>
      <c r="P45" s="31"/>
      <c r="Q45"/>
      <c r="W45" s="2523">
        <f t="shared" si="0"/>
        <v>14400</v>
      </c>
      <c r="X45" s="2538">
        <f>X44</f>
        <v>12000</v>
      </c>
    </row>
    <row r="46" spans="1:24" ht="18.75">
      <c r="A46" s="32">
        <v>6</v>
      </c>
      <c r="B46" s="33"/>
      <c r="C46" s="1532" t="s">
        <v>475</v>
      </c>
      <c r="D46" s="126"/>
      <c r="E46" s="126"/>
      <c r="F46" s="126"/>
      <c r="G46" s="126"/>
      <c r="H46" s="126"/>
      <c r="I46" s="41" t="s">
        <v>460</v>
      </c>
      <c r="J46" s="1141">
        <v>19100</v>
      </c>
      <c r="K46" s="1386">
        <v>0</v>
      </c>
      <c r="L46" s="1324">
        <f>SUM(J46:K46)</f>
        <v>19100</v>
      </c>
      <c r="M46" s="1462">
        <f>J46/10000</f>
        <v>1.91</v>
      </c>
      <c r="N46" s="1463">
        <f>K46</f>
        <v>0</v>
      </c>
      <c r="O46" s="1440">
        <f>SUM(M46:N46)</f>
        <v>1.91</v>
      </c>
      <c r="P46" s="31"/>
      <c r="Q46"/>
      <c r="W46" s="2523">
        <f t="shared" si="0"/>
        <v>19080</v>
      </c>
      <c r="X46" s="2538">
        <v>15900</v>
      </c>
    </row>
    <row r="47" spans="1:24" ht="18.75">
      <c r="A47" s="32">
        <v>7</v>
      </c>
      <c r="B47" s="33"/>
      <c r="C47" s="1532" t="s">
        <v>491</v>
      </c>
      <c r="D47" s="126"/>
      <c r="E47" s="126"/>
      <c r="F47" s="126"/>
      <c r="G47" s="126"/>
      <c r="H47" s="126"/>
      <c r="I47" s="41"/>
      <c r="J47" s="1141"/>
      <c r="K47" s="1386"/>
      <c r="L47" s="1324"/>
      <c r="M47" s="1462"/>
      <c r="N47" s="1463"/>
      <c r="O47" s="1440"/>
      <c r="P47" s="31"/>
      <c r="Q47"/>
      <c r="W47" s="2523">
        <f t="shared" si="0"/>
        <v>0</v>
      </c>
      <c r="X47" s="2538"/>
    </row>
    <row r="48" spans="1:24" ht="18.75">
      <c r="A48" s="32"/>
      <c r="B48" s="33"/>
      <c r="C48" s="1532" t="s">
        <v>490</v>
      </c>
      <c r="D48" s="126"/>
      <c r="E48" s="126"/>
      <c r="F48" s="126"/>
      <c r="G48" s="126"/>
      <c r="H48" s="126"/>
      <c r="I48" s="41" t="s">
        <v>460</v>
      </c>
      <c r="J48" s="1141">
        <f>J40</f>
        <v>9600</v>
      </c>
      <c r="K48" s="1386">
        <v>0</v>
      </c>
      <c r="L48" s="1324">
        <f>SUM(J48:K48)</f>
        <v>9600</v>
      </c>
      <c r="M48" s="1462">
        <f>M40</f>
        <v>0.96</v>
      </c>
      <c r="N48" s="1463">
        <v>0</v>
      </c>
      <c r="O48" s="1440">
        <f>SUM(M48:N48)</f>
        <v>0.96</v>
      </c>
      <c r="P48" s="31"/>
      <c r="Q48"/>
      <c r="W48" s="2523">
        <f t="shared" si="0"/>
        <v>9600</v>
      </c>
      <c r="X48" s="2538">
        <f>X40</f>
        <v>8000</v>
      </c>
    </row>
    <row r="49" spans="1:24" ht="18.75">
      <c r="A49" s="32">
        <v>8</v>
      </c>
      <c r="B49" s="33"/>
      <c r="C49" s="1532" t="s">
        <v>493</v>
      </c>
      <c r="D49" s="126"/>
      <c r="E49" s="126"/>
      <c r="F49" s="126"/>
      <c r="G49" s="126"/>
      <c r="H49" s="126"/>
      <c r="I49" s="41"/>
      <c r="J49" s="1141"/>
      <c r="K49" s="1386"/>
      <c r="L49" s="1324"/>
      <c r="M49" s="1462"/>
      <c r="N49" s="1463"/>
      <c r="O49" s="1440"/>
      <c r="P49" s="31"/>
      <c r="Q49"/>
      <c r="W49" s="2523">
        <f t="shared" si="0"/>
        <v>0</v>
      </c>
      <c r="X49" s="2538"/>
    </row>
    <row r="50" spans="1:24" ht="18.75">
      <c r="A50" s="32"/>
      <c r="B50" s="33"/>
      <c r="C50" s="1532" t="s">
        <v>492</v>
      </c>
      <c r="D50" s="126"/>
      <c r="E50" s="126"/>
      <c r="F50" s="126"/>
      <c r="G50" s="126"/>
      <c r="H50" s="126"/>
      <c r="I50" s="41" t="s">
        <v>460</v>
      </c>
      <c r="J50" s="1141">
        <f>J40</f>
        <v>9600</v>
      </c>
      <c r="K50" s="1386">
        <v>0</v>
      </c>
      <c r="L50" s="1324">
        <f>SUM(J50:K50)</f>
        <v>9600</v>
      </c>
      <c r="M50" s="1462">
        <f>M40</f>
        <v>0.96</v>
      </c>
      <c r="N50" s="1463">
        <v>0</v>
      </c>
      <c r="O50" s="1440">
        <f>SUM(M50:N50)</f>
        <v>0.96</v>
      </c>
      <c r="P50" s="31"/>
      <c r="Q50"/>
      <c r="W50" s="2523">
        <f t="shared" si="0"/>
        <v>9600</v>
      </c>
      <c r="X50" s="2538">
        <f>X40</f>
        <v>8000</v>
      </c>
    </row>
    <row r="51" spans="1:24" ht="18.75">
      <c r="A51" s="32">
        <v>9</v>
      </c>
      <c r="B51" s="33"/>
      <c r="C51" s="1532" t="s">
        <v>495</v>
      </c>
      <c r="D51" s="126"/>
      <c r="E51" s="126"/>
      <c r="F51" s="126"/>
      <c r="G51" s="126"/>
      <c r="H51" s="126"/>
      <c r="I51" s="41"/>
      <c r="J51" s="1141"/>
      <c r="K51" s="1386"/>
      <c r="L51" s="1324"/>
      <c r="M51" s="1462"/>
      <c r="N51" s="1463"/>
      <c r="O51" s="1440"/>
      <c r="P51" s="31"/>
      <c r="Q51"/>
      <c r="W51" s="2523">
        <f t="shared" si="0"/>
        <v>0</v>
      </c>
      <c r="X51" s="2538"/>
    </row>
    <row r="52" spans="1:24" ht="18.75">
      <c r="A52" s="32"/>
      <c r="B52" s="33"/>
      <c r="C52" s="1532" t="s">
        <v>494</v>
      </c>
      <c r="D52" s="126"/>
      <c r="E52" s="126"/>
      <c r="F52" s="126"/>
      <c r="G52" s="126"/>
      <c r="H52" s="126"/>
      <c r="I52" s="41" t="s">
        <v>460</v>
      </c>
      <c r="J52" s="1141">
        <f>J40</f>
        <v>9600</v>
      </c>
      <c r="K52" s="1386">
        <v>0</v>
      </c>
      <c r="L52" s="1324">
        <f>SUM(J52:K52)</f>
        <v>9600</v>
      </c>
      <c r="M52" s="1462">
        <f>M40</f>
        <v>0.96</v>
      </c>
      <c r="N52" s="1463">
        <v>0</v>
      </c>
      <c r="O52" s="1440">
        <f>SUM(M52:N52)</f>
        <v>0.96</v>
      </c>
      <c r="P52" s="31"/>
      <c r="Q52"/>
      <c r="W52" s="2523">
        <f t="shared" si="0"/>
        <v>9600</v>
      </c>
      <c r="X52" s="2538">
        <f>X40</f>
        <v>8000</v>
      </c>
    </row>
    <row r="53" spans="1:24" ht="18.75">
      <c r="A53" s="32">
        <v>10</v>
      </c>
      <c r="B53" s="33"/>
      <c r="C53" s="1532" t="s">
        <v>476</v>
      </c>
      <c r="D53" s="126"/>
      <c r="E53" s="126"/>
      <c r="F53" s="126"/>
      <c r="G53" s="126"/>
      <c r="H53" s="126"/>
      <c r="I53" s="41" t="s">
        <v>460</v>
      </c>
      <c r="J53" s="1141">
        <f>J52</f>
        <v>9600</v>
      </c>
      <c r="K53" s="1386">
        <v>0</v>
      </c>
      <c r="L53" s="1324">
        <f>SUM(J53:K53)</f>
        <v>9600</v>
      </c>
      <c r="M53" s="1462">
        <f>M52</f>
        <v>0.96</v>
      </c>
      <c r="N53" s="1463">
        <v>0</v>
      </c>
      <c r="O53" s="1440">
        <f>SUM(M53:N53)</f>
        <v>0.96</v>
      </c>
      <c r="P53" s="31"/>
      <c r="Q53"/>
      <c r="W53" s="2523">
        <f t="shared" si="0"/>
        <v>9600</v>
      </c>
      <c r="X53" s="2538">
        <f>X52</f>
        <v>8000</v>
      </c>
    </row>
    <row r="54" spans="1:24" ht="15" customHeight="1">
      <c r="A54" s="32">
        <v>11</v>
      </c>
      <c r="B54" s="548"/>
      <c r="C54" s="2216" t="s">
        <v>477</v>
      </c>
      <c r="D54" s="2216"/>
      <c r="E54" s="2216"/>
      <c r="F54" s="2216"/>
      <c r="G54" s="2216"/>
      <c r="H54" s="2216"/>
      <c r="I54" s="41"/>
      <c r="J54" s="1141"/>
      <c r="K54" s="1386"/>
      <c r="L54" s="1324"/>
      <c r="M54" s="1462"/>
      <c r="N54" s="1463"/>
      <c r="O54" s="1440"/>
      <c r="P54" s="31"/>
      <c r="Q54"/>
      <c r="W54" s="2523">
        <f t="shared" si="0"/>
        <v>0</v>
      </c>
      <c r="X54" s="2538"/>
    </row>
    <row r="55" spans="1:24" ht="18.75">
      <c r="A55" s="32"/>
      <c r="B55" s="548"/>
      <c r="C55" s="2216"/>
      <c r="D55" s="2216"/>
      <c r="E55" s="2216"/>
      <c r="F55" s="2216"/>
      <c r="G55" s="2216"/>
      <c r="H55" s="2216"/>
      <c r="I55" s="41"/>
      <c r="J55" s="1141"/>
      <c r="K55" s="1386"/>
      <c r="L55" s="1324"/>
      <c r="M55" s="1462"/>
      <c r="N55" s="1463"/>
      <c r="O55" s="1440"/>
      <c r="P55" s="31"/>
      <c r="Q55"/>
      <c r="W55" s="2523">
        <f t="shared" si="0"/>
        <v>0</v>
      </c>
      <c r="X55" s="2538"/>
    </row>
    <row r="56" spans="1:24" ht="33" customHeight="1">
      <c r="A56" s="32"/>
      <c r="B56" s="548"/>
      <c r="C56" s="2216"/>
      <c r="D56" s="2216"/>
      <c r="E56" s="2216"/>
      <c r="F56" s="2216"/>
      <c r="G56" s="2216"/>
      <c r="H56" s="2216"/>
      <c r="I56" s="1534" t="s">
        <v>460</v>
      </c>
      <c r="J56" s="1400">
        <v>23900</v>
      </c>
      <c r="K56" s="1535">
        <v>0</v>
      </c>
      <c r="L56" s="1346">
        <f>SUM(J56:K56)</f>
        <v>23900</v>
      </c>
      <c r="M56" s="1477">
        <f>J56/10000</f>
        <v>2.39</v>
      </c>
      <c r="N56" s="1478">
        <f>K56</f>
        <v>0</v>
      </c>
      <c r="O56" s="1452">
        <f>SUM(M56:N56)</f>
        <v>2.39</v>
      </c>
      <c r="P56" s="31"/>
      <c r="Q56"/>
      <c r="W56" s="2523">
        <f t="shared" si="0"/>
        <v>23880</v>
      </c>
      <c r="X56" s="2538">
        <v>19900</v>
      </c>
    </row>
    <row r="57" spans="1:24" ht="15" customHeight="1">
      <c r="A57" s="32">
        <v>12</v>
      </c>
      <c r="B57" s="548"/>
      <c r="C57" s="2216" t="s">
        <v>478</v>
      </c>
      <c r="D57" s="2216"/>
      <c r="E57" s="2216"/>
      <c r="F57" s="2216"/>
      <c r="G57" s="2216"/>
      <c r="H57" s="2216"/>
      <c r="I57" s="41"/>
      <c r="J57" s="1141"/>
      <c r="K57" s="1386"/>
      <c r="L57" s="1324"/>
      <c r="M57" s="1462"/>
      <c r="N57" s="1463"/>
      <c r="O57" s="1440"/>
      <c r="P57" s="31"/>
      <c r="Q57"/>
      <c r="W57" s="2523">
        <f t="shared" si="0"/>
        <v>0</v>
      </c>
      <c r="X57" s="2538"/>
    </row>
    <row r="58" spans="1:24" ht="18.75">
      <c r="A58" s="32"/>
      <c r="B58" s="548"/>
      <c r="C58" s="2216"/>
      <c r="D58" s="2216"/>
      <c r="E58" s="2216"/>
      <c r="F58" s="2216"/>
      <c r="G58" s="2216"/>
      <c r="H58" s="2216"/>
      <c r="I58" s="41" t="s">
        <v>460</v>
      </c>
      <c r="J58" s="1141">
        <f>J45</f>
        <v>14400</v>
      </c>
      <c r="K58" s="1386">
        <v>0</v>
      </c>
      <c r="L58" s="1324">
        <f>SUM(J58:K58)</f>
        <v>14400</v>
      </c>
      <c r="M58" s="1462">
        <f>M45</f>
        <v>1.44</v>
      </c>
      <c r="N58" s="1463">
        <v>0</v>
      </c>
      <c r="O58" s="1440">
        <f>SUM(M58:N58)</f>
        <v>1.44</v>
      </c>
      <c r="P58" s="31"/>
      <c r="Q58"/>
      <c r="W58" s="2523">
        <f t="shared" si="0"/>
        <v>14400</v>
      </c>
      <c r="X58" s="2538">
        <f>X45</f>
        <v>12000</v>
      </c>
    </row>
    <row r="59" spans="1:24" ht="18.75">
      <c r="A59" s="32"/>
      <c r="B59" s="548"/>
      <c r="C59" s="2216"/>
      <c r="D59" s="2216"/>
      <c r="E59" s="2216"/>
      <c r="F59" s="2216"/>
      <c r="G59" s="2216"/>
      <c r="H59" s="2216"/>
      <c r="I59" s="41"/>
      <c r="J59" s="1141"/>
      <c r="K59" s="1386"/>
      <c r="L59" s="1324"/>
      <c r="M59" s="1462"/>
      <c r="N59" s="1463"/>
      <c r="O59" s="1440"/>
      <c r="P59" s="31"/>
      <c r="Q59"/>
      <c r="W59" s="2523">
        <f t="shared" si="0"/>
        <v>0</v>
      </c>
      <c r="X59" s="2538"/>
    </row>
    <row r="60" spans="1:24" ht="18.75">
      <c r="A60" s="32">
        <v>13</v>
      </c>
      <c r="B60" s="33"/>
      <c r="C60" s="1532" t="s">
        <v>479</v>
      </c>
      <c r="D60" s="126"/>
      <c r="E60" s="126"/>
      <c r="F60" s="126"/>
      <c r="G60" s="126"/>
      <c r="H60" s="126"/>
      <c r="I60" s="41" t="s">
        <v>460</v>
      </c>
      <c r="J60" s="1141">
        <f>J40</f>
        <v>9600</v>
      </c>
      <c r="K60" s="1386">
        <v>0</v>
      </c>
      <c r="L60" s="1324">
        <f>SUM(J60:K60)</f>
        <v>9600</v>
      </c>
      <c r="M60" s="1462">
        <f>M40</f>
        <v>0.96</v>
      </c>
      <c r="N60" s="1463">
        <v>0</v>
      </c>
      <c r="O60" s="1440">
        <f>SUM(M60:N60)</f>
        <v>0.96</v>
      </c>
      <c r="P60" s="31"/>
      <c r="Q60"/>
      <c r="W60" s="2523">
        <f t="shared" si="0"/>
        <v>9600</v>
      </c>
      <c r="X60" s="2538">
        <f>X40</f>
        <v>8000</v>
      </c>
    </row>
    <row r="61" spans="1:24" ht="15" customHeight="1">
      <c r="A61" s="32">
        <v>14</v>
      </c>
      <c r="B61" s="548"/>
      <c r="C61" s="2216" t="s">
        <v>480</v>
      </c>
      <c r="D61" s="2216"/>
      <c r="E61" s="2216"/>
      <c r="F61" s="2216"/>
      <c r="G61" s="2216"/>
      <c r="H61" s="2216"/>
      <c r="I61" s="41"/>
      <c r="J61" s="1141"/>
      <c r="K61" s="1386"/>
      <c r="L61" s="1324"/>
      <c r="M61" s="1462"/>
      <c r="N61" s="1463"/>
      <c r="O61" s="1440"/>
      <c r="P61" s="31"/>
      <c r="Q61"/>
      <c r="W61" s="2523">
        <f t="shared" si="0"/>
        <v>0</v>
      </c>
      <c r="X61" s="2538"/>
    </row>
    <row r="62" spans="1:24" ht="18.75">
      <c r="A62" s="32"/>
      <c r="B62" s="548"/>
      <c r="C62" s="2216"/>
      <c r="D62" s="2216"/>
      <c r="E62" s="2216"/>
      <c r="F62" s="2216"/>
      <c r="G62" s="2216"/>
      <c r="H62" s="2216"/>
      <c r="I62" s="41" t="s">
        <v>460</v>
      </c>
      <c r="J62" s="1141">
        <f>J40</f>
        <v>9600</v>
      </c>
      <c r="K62" s="1386">
        <v>0</v>
      </c>
      <c r="L62" s="1324">
        <f>SUM(J62:K62)</f>
        <v>9600</v>
      </c>
      <c r="M62" s="1462">
        <f>M40</f>
        <v>0.96</v>
      </c>
      <c r="N62" s="1463">
        <v>0</v>
      </c>
      <c r="O62" s="1440">
        <f>SUM(M62:N62)</f>
        <v>0.96</v>
      </c>
      <c r="P62" s="31"/>
      <c r="Q62"/>
      <c r="W62" s="2523">
        <f t="shared" si="0"/>
        <v>9600</v>
      </c>
      <c r="X62" s="2538">
        <f>X40</f>
        <v>8000</v>
      </c>
    </row>
    <row r="63" spans="1:24" ht="18.75">
      <c r="A63" s="32">
        <v>15</v>
      </c>
      <c r="B63" s="33"/>
      <c r="C63" s="1532" t="s">
        <v>481</v>
      </c>
      <c r="D63" s="126"/>
      <c r="E63" s="126"/>
      <c r="F63" s="126"/>
      <c r="G63" s="126"/>
      <c r="H63" s="126"/>
      <c r="I63" s="41" t="s">
        <v>460</v>
      </c>
      <c r="J63" s="1141">
        <f>J44</f>
        <v>14400</v>
      </c>
      <c r="K63" s="1386">
        <v>0</v>
      </c>
      <c r="L63" s="1324">
        <f>SUM(J63:K63)</f>
        <v>14400</v>
      </c>
      <c r="M63" s="1462">
        <f>M44</f>
        <v>1.44</v>
      </c>
      <c r="N63" s="1463">
        <v>0</v>
      </c>
      <c r="O63" s="1440">
        <f>SUM(M63:N63)</f>
        <v>1.44</v>
      </c>
      <c r="P63" s="31"/>
      <c r="Q63"/>
      <c r="W63" s="2523">
        <f t="shared" si="0"/>
        <v>14400</v>
      </c>
      <c r="X63" s="2538">
        <f>X44</f>
        <v>12000</v>
      </c>
    </row>
    <row r="64" spans="1:24" ht="15" customHeight="1">
      <c r="A64" s="32">
        <v>16</v>
      </c>
      <c r="B64" s="548"/>
      <c r="C64" s="2216" t="s">
        <v>482</v>
      </c>
      <c r="D64" s="2216"/>
      <c r="E64" s="2216"/>
      <c r="F64" s="2216"/>
      <c r="G64" s="2216"/>
      <c r="H64" s="2216"/>
      <c r="I64" s="41"/>
      <c r="J64" s="1141"/>
      <c r="K64" s="1386"/>
      <c r="L64" s="1324"/>
      <c r="M64" s="1462"/>
      <c r="N64" s="1463"/>
      <c r="O64" s="1440"/>
      <c r="P64" s="31"/>
      <c r="Q64"/>
      <c r="W64" s="2523">
        <f t="shared" si="0"/>
        <v>0</v>
      </c>
      <c r="X64" s="2538"/>
    </row>
    <row r="65" spans="1:24" ht="18.75">
      <c r="A65" s="32"/>
      <c r="B65" s="548"/>
      <c r="C65" s="2216"/>
      <c r="D65" s="2216"/>
      <c r="E65" s="2216"/>
      <c r="F65" s="2216"/>
      <c r="G65" s="2216"/>
      <c r="H65" s="2216"/>
      <c r="I65" s="41" t="s">
        <v>460</v>
      </c>
      <c r="J65" s="1141">
        <f>J46</f>
        <v>19100</v>
      </c>
      <c r="K65" s="1386">
        <v>0</v>
      </c>
      <c r="L65" s="1324">
        <f>SUM(J65:K65)</f>
        <v>19100</v>
      </c>
      <c r="M65" s="1462">
        <f>M46</f>
        <v>1.91</v>
      </c>
      <c r="N65" s="1463">
        <v>0</v>
      </c>
      <c r="O65" s="1440">
        <f>SUM(M65:N65)</f>
        <v>1.91</v>
      </c>
      <c r="P65" s="31"/>
      <c r="Q65"/>
      <c r="W65" s="2523">
        <f t="shared" si="0"/>
        <v>19080</v>
      </c>
      <c r="X65" s="2538">
        <f>X46</f>
        <v>15900</v>
      </c>
    </row>
    <row r="66" spans="1:24" ht="15" customHeight="1">
      <c r="A66" s="32">
        <v>17</v>
      </c>
      <c r="B66" s="548"/>
      <c r="C66" s="2216" t="s">
        <v>483</v>
      </c>
      <c r="D66" s="2216"/>
      <c r="E66" s="2216"/>
      <c r="F66" s="2216"/>
      <c r="G66" s="2216"/>
      <c r="H66" s="2216"/>
      <c r="I66" s="41"/>
      <c r="J66" s="1141"/>
      <c r="K66" s="1386"/>
      <c r="L66" s="1324"/>
      <c r="M66" s="1462"/>
      <c r="N66" s="1463"/>
      <c r="O66" s="1440"/>
      <c r="P66" s="31"/>
      <c r="Q66"/>
      <c r="W66" s="2523">
        <f t="shared" si="0"/>
        <v>0</v>
      </c>
      <c r="X66" s="2538"/>
    </row>
    <row r="67" spans="1:24" ht="18.75">
      <c r="A67" s="32"/>
      <c r="B67" s="548"/>
      <c r="C67" s="2216"/>
      <c r="D67" s="2216"/>
      <c r="E67" s="2216"/>
      <c r="F67" s="2216"/>
      <c r="G67" s="2216"/>
      <c r="H67" s="2216"/>
      <c r="I67" s="41"/>
      <c r="J67" s="1141"/>
      <c r="K67" s="1386"/>
      <c r="L67" s="1324"/>
      <c r="M67" s="1462"/>
      <c r="N67" s="1463"/>
      <c r="O67" s="1440"/>
      <c r="P67" s="31"/>
      <c r="Q67"/>
      <c r="W67" s="2523">
        <f t="shared" si="0"/>
        <v>0</v>
      </c>
      <c r="X67" s="2538"/>
    </row>
    <row r="68" spans="1:24" ht="18.75">
      <c r="A68" s="32"/>
      <c r="B68" s="548"/>
      <c r="C68" s="2216"/>
      <c r="D68" s="2216"/>
      <c r="E68" s="2216"/>
      <c r="F68" s="2216"/>
      <c r="G68" s="2216"/>
      <c r="H68" s="2216"/>
      <c r="I68" s="41" t="s">
        <v>460</v>
      </c>
      <c r="J68" s="1141">
        <f>J65</f>
        <v>19100</v>
      </c>
      <c r="K68" s="1386">
        <v>0</v>
      </c>
      <c r="L68" s="1324">
        <f>SUM(J68:K68)</f>
        <v>19100</v>
      </c>
      <c r="M68" s="1462">
        <f>M65</f>
        <v>1.91</v>
      </c>
      <c r="N68" s="1463">
        <v>0</v>
      </c>
      <c r="O68" s="1440">
        <f>SUM(M68:N68)</f>
        <v>1.91</v>
      </c>
      <c r="P68" s="31"/>
      <c r="Q68"/>
      <c r="W68" s="2523">
        <f t="shared" si="0"/>
        <v>19080</v>
      </c>
      <c r="X68" s="2538">
        <f>X65</f>
        <v>15900</v>
      </c>
    </row>
    <row r="69" spans="1:24" ht="18.75">
      <c r="A69" s="32">
        <v>18</v>
      </c>
      <c r="B69" s="33"/>
      <c r="C69" s="1532" t="s">
        <v>484</v>
      </c>
      <c r="D69" s="126"/>
      <c r="E69" s="126"/>
      <c r="F69" s="126"/>
      <c r="G69" s="126"/>
      <c r="H69" s="126"/>
      <c r="I69" s="41" t="s">
        <v>460</v>
      </c>
      <c r="J69" s="1141">
        <v>28700</v>
      </c>
      <c r="K69" s="1386">
        <v>0</v>
      </c>
      <c r="L69" s="1324">
        <f>SUM(J69:K69)</f>
        <v>28700</v>
      </c>
      <c r="M69" s="1462">
        <f>J69/10000</f>
        <v>2.87</v>
      </c>
      <c r="N69" s="1463">
        <f>K69</f>
        <v>0</v>
      </c>
      <c r="O69" s="1440">
        <f>SUM(M69:N69)</f>
        <v>2.87</v>
      </c>
      <c r="P69" s="31"/>
      <c r="Q69"/>
      <c r="W69" s="2523">
        <f t="shared" si="0"/>
        <v>28680</v>
      </c>
      <c r="X69" s="2538">
        <v>23900</v>
      </c>
    </row>
    <row r="70" spans="1:24" ht="15" customHeight="1">
      <c r="A70" s="32">
        <v>19</v>
      </c>
      <c r="B70" s="548"/>
      <c r="C70" s="2216" t="s">
        <v>514</v>
      </c>
      <c r="D70" s="2216"/>
      <c r="E70" s="2216"/>
      <c r="F70" s="2216"/>
      <c r="G70" s="2216"/>
      <c r="H70" s="2216"/>
      <c r="I70" s="41"/>
      <c r="J70" s="1141"/>
      <c r="K70" s="1386"/>
      <c r="L70" s="1324"/>
      <c r="M70" s="1462"/>
      <c r="N70" s="1463"/>
      <c r="O70" s="1440"/>
      <c r="P70" s="31"/>
      <c r="Q70"/>
      <c r="W70" s="2523">
        <f t="shared" si="0"/>
        <v>0</v>
      </c>
      <c r="X70" s="2538"/>
    </row>
    <row r="71" spans="1:24" ht="18.75">
      <c r="A71" s="32"/>
      <c r="B71" s="548"/>
      <c r="C71" s="2216"/>
      <c r="D71" s="2216"/>
      <c r="E71" s="2216"/>
      <c r="F71" s="2216"/>
      <c r="G71" s="2216"/>
      <c r="H71" s="2216"/>
      <c r="I71" s="41" t="s">
        <v>460</v>
      </c>
      <c r="J71" s="1141">
        <f>J56</f>
        <v>23900</v>
      </c>
      <c r="K71" s="1386">
        <v>0</v>
      </c>
      <c r="L71" s="1324">
        <f>SUM(J71:K71)</f>
        <v>23900</v>
      </c>
      <c r="M71" s="1462">
        <f>M56</f>
        <v>2.39</v>
      </c>
      <c r="N71" s="1463">
        <v>0</v>
      </c>
      <c r="O71" s="1440">
        <f>SUM(M71:N71)</f>
        <v>2.39</v>
      </c>
      <c r="P71" s="31"/>
      <c r="Q71"/>
      <c r="W71" s="2523">
        <f t="shared" si="0"/>
        <v>23880</v>
      </c>
      <c r="X71" s="2538">
        <f>X56</f>
        <v>19900</v>
      </c>
    </row>
    <row r="72" spans="1:24" ht="18.75">
      <c r="A72" s="32">
        <v>20</v>
      </c>
      <c r="B72" s="33"/>
      <c r="C72" s="1532" t="s">
        <v>515</v>
      </c>
      <c r="D72" s="126"/>
      <c r="E72" s="126"/>
      <c r="F72" s="126"/>
      <c r="G72" s="126"/>
      <c r="H72" s="126"/>
      <c r="I72" s="41" t="s">
        <v>460</v>
      </c>
      <c r="J72" s="1141">
        <f>J63</f>
        <v>14400</v>
      </c>
      <c r="K72" s="1386">
        <v>0</v>
      </c>
      <c r="L72" s="1324">
        <f>SUM(J72:K72)</f>
        <v>14400</v>
      </c>
      <c r="M72" s="1462">
        <f>M63</f>
        <v>1.44</v>
      </c>
      <c r="N72" s="1463">
        <v>0</v>
      </c>
      <c r="O72" s="1440">
        <f>SUM(M72:N72)</f>
        <v>1.44</v>
      </c>
      <c r="P72" s="31"/>
      <c r="Q72"/>
      <c r="W72" s="2523">
        <f t="shared" si="0"/>
        <v>14400</v>
      </c>
      <c r="X72" s="2538">
        <f>X63</f>
        <v>12000</v>
      </c>
    </row>
    <row r="73" spans="1:24" ht="15" customHeight="1">
      <c r="A73" s="32">
        <v>21</v>
      </c>
      <c r="B73" s="548"/>
      <c r="C73" s="2216" t="s">
        <v>516</v>
      </c>
      <c r="D73" s="2216"/>
      <c r="E73" s="2216"/>
      <c r="F73" s="2216"/>
      <c r="G73" s="2216"/>
      <c r="H73" s="2216"/>
      <c r="I73" s="41"/>
      <c r="J73" s="1141"/>
      <c r="K73" s="1386"/>
      <c r="L73" s="1324"/>
      <c r="M73" s="1462"/>
      <c r="N73" s="1463"/>
      <c r="O73" s="1440"/>
      <c r="P73" s="31"/>
      <c r="Q73"/>
      <c r="W73" s="2523">
        <f t="shared" si="0"/>
        <v>0</v>
      </c>
      <c r="X73" s="2538"/>
    </row>
    <row r="74" spans="1:24" ht="18.75">
      <c r="A74" s="32"/>
      <c r="B74" s="548"/>
      <c r="C74" s="2216"/>
      <c r="D74" s="2216"/>
      <c r="E74" s="2216"/>
      <c r="F74" s="2216"/>
      <c r="G74" s="2216"/>
      <c r="H74" s="2216"/>
      <c r="I74" s="41" t="s">
        <v>460</v>
      </c>
      <c r="J74" s="1141">
        <f>J68</f>
        <v>19100</v>
      </c>
      <c r="K74" s="1386">
        <v>0</v>
      </c>
      <c r="L74" s="1324">
        <f>SUM(J74:K74)</f>
        <v>19100</v>
      </c>
      <c r="M74" s="1462">
        <f>M68</f>
        <v>1.91</v>
      </c>
      <c r="N74" s="1463">
        <v>0</v>
      </c>
      <c r="O74" s="1440">
        <f>SUM(M74:N74)</f>
        <v>1.91</v>
      </c>
      <c r="P74" s="31"/>
      <c r="Q74"/>
      <c r="W74" s="2523">
        <f t="shared" si="0"/>
        <v>19080</v>
      </c>
      <c r="X74" s="2538">
        <f>X68</f>
        <v>15900</v>
      </c>
    </row>
    <row r="75" spans="1:24" ht="15" customHeight="1">
      <c r="A75" s="32">
        <v>22</v>
      </c>
      <c r="B75" s="548"/>
      <c r="C75" s="2216" t="s">
        <v>517</v>
      </c>
      <c r="D75" s="2216"/>
      <c r="E75" s="2216"/>
      <c r="F75" s="2216"/>
      <c r="G75" s="2216"/>
      <c r="H75" s="2216"/>
      <c r="I75" s="41"/>
      <c r="J75" s="1141"/>
      <c r="K75" s="1386"/>
      <c r="L75" s="1324"/>
      <c r="M75" s="1462"/>
      <c r="N75" s="1463"/>
      <c r="O75" s="1440"/>
      <c r="P75" s="31"/>
      <c r="Q75"/>
      <c r="W75" s="2523">
        <f t="shared" si="0"/>
        <v>0</v>
      </c>
      <c r="X75" s="2538"/>
    </row>
    <row r="76" spans="1:24" ht="18.75">
      <c r="A76" s="32"/>
      <c r="B76" s="548"/>
      <c r="C76" s="2216"/>
      <c r="D76" s="2216"/>
      <c r="E76" s="2216"/>
      <c r="F76" s="2216"/>
      <c r="G76" s="2216"/>
      <c r="H76" s="2216"/>
      <c r="I76" s="41" t="s">
        <v>460</v>
      </c>
      <c r="J76" s="1141">
        <f>J40</f>
        <v>9600</v>
      </c>
      <c r="K76" s="1386">
        <v>0</v>
      </c>
      <c r="L76" s="1324">
        <f>SUM(J76:K76)</f>
        <v>9600</v>
      </c>
      <c r="M76" s="1462">
        <f>M40</f>
        <v>0.96</v>
      </c>
      <c r="N76" s="1463">
        <v>0</v>
      </c>
      <c r="O76" s="1440">
        <f>SUM(M76:N76)</f>
        <v>0.96</v>
      </c>
      <c r="P76" s="31"/>
      <c r="Q76"/>
      <c r="W76" s="2523">
        <f t="shared" si="0"/>
        <v>9600</v>
      </c>
      <c r="X76" s="2538">
        <f>X40</f>
        <v>8000</v>
      </c>
    </row>
    <row r="77" spans="1:24" ht="15" customHeight="1">
      <c r="A77" s="32">
        <v>23</v>
      </c>
      <c r="B77" s="548"/>
      <c r="C77" s="2216" t="s">
        <v>518</v>
      </c>
      <c r="D77" s="2216"/>
      <c r="E77" s="2216"/>
      <c r="F77" s="2216"/>
      <c r="G77" s="2216"/>
      <c r="H77" s="2216"/>
      <c r="I77" s="41"/>
      <c r="J77" s="1141"/>
      <c r="K77" s="1386"/>
      <c r="L77" s="1324"/>
      <c r="M77" s="1462"/>
      <c r="N77" s="1463"/>
      <c r="O77" s="1440"/>
      <c r="P77" s="31"/>
      <c r="Q77"/>
      <c r="W77" s="2523">
        <f t="shared" si="0"/>
        <v>0</v>
      </c>
      <c r="X77" s="2538"/>
    </row>
    <row r="78" spans="1:24" ht="18.75">
      <c r="A78" s="32"/>
      <c r="B78" s="548"/>
      <c r="C78" s="2216"/>
      <c r="D78" s="2216"/>
      <c r="E78" s="2216"/>
      <c r="F78" s="2216"/>
      <c r="G78" s="2216"/>
      <c r="H78" s="2216"/>
      <c r="I78" s="41" t="s">
        <v>460</v>
      </c>
      <c r="J78" s="1141">
        <f>J76</f>
        <v>9600</v>
      </c>
      <c r="K78" s="1386">
        <v>0</v>
      </c>
      <c r="L78" s="1324">
        <f>SUM(J78:K78)</f>
        <v>9600</v>
      </c>
      <c r="M78" s="1462">
        <f>M76</f>
        <v>0.96</v>
      </c>
      <c r="N78" s="1463">
        <v>0</v>
      </c>
      <c r="O78" s="1440">
        <f>SUM(M78:N78)</f>
        <v>0.96</v>
      </c>
      <c r="P78" s="31"/>
      <c r="Q78"/>
      <c r="W78" s="2523">
        <f t="shared" si="0"/>
        <v>9600</v>
      </c>
      <c r="X78" s="2538">
        <f>X76</f>
        <v>8000</v>
      </c>
    </row>
    <row r="79" spans="1:24" ht="15" customHeight="1">
      <c r="A79" s="32">
        <v>24</v>
      </c>
      <c r="B79" s="548"/>
      <c r="C79" s="2216" t="s">
        <v>519</v>
      </c>
      <c r="D79" s="2216"/>
      <c r="E79" s="2216"/>
      <c r="F79" s="2216"/>
      <c r="G79" s="2216"/>
      <c r="H79" s="2216"/>
      <c r="I79" s="41"/>
      <c r="J79" s="1141"/>
      <c r="K79" s="1386"/>
      <c r="L79" s="1324"/>
      <c r="M79" s="1462"/>
      <c r="N79" s="1463"/>
      <c r="O79" s="1440"/>
      <c r="P79" s="31"/>
      <c r="Q79"/>
      <c r="W79" s="2523">
        <f t="shared" si="0"/>
        <v>0</v>
      </c>
      <c r="X79" s="2538"/>
    </row>
    <row r="80" spans="1:24" ht="18.75">
      <c r="A80" s="32"/>
      <c r="B80" s="548"/>
      <c r="C80" s="2216"/>
      <c r="D80" s="2216"/>
      <c r="E80" s="2216"/>
      <c r="F80" s="2216"/>
      <c r="G80" s="2216"/>
      <c r="H80" s="2216"/>
      <c r="I80" s="41" t="s">
        <v>460</v>
      </c>
      <c r="J80" s="1141">
        <f>J78</f>
        <v>9600</v>
      </c>
      <c r="K80" s="1386">
        <v>0</v>
      </c>
      <c r="L80" s="1324">
        <f>SUM(J80:K80)</f>
        <v>9600</v>
      </c>
      <c r="M80" s="1462">
        <f>M78</f>
        <v>0.96</v>
      </c>
      <c r="N80" s="1463">
        <v>0</v>
      </c>
      <c r="O80" s="1440">
        <f>SUM(M80:N80)</f>
        <v>0.96</v>
      </c>
      <c r="P80" s="31"/>
      <c r="Q80"/>
      <c r="W80" s="2523">
        <f t="shared" si="0"/>
        <v>9600</v>
      </c>
      <c r="X80" s="2538">
        <f>X78</f>
        <v>8000</v>
      </c>
    </row>
    <row r="81" spans="1:24" ht="18.75">
      <c r="A81" s="32">
        <v>25</v>
      </c>
      <c r="B81" s="33"/>
      <c r="C81" s="1532" t="s">
        <v>522</v>
      </c>
      <c r="D81" s="126"/>
      <c r="E81" s="126"/>
      <c r="F81" s="126"/>
      <c r="G81" s="126"/>
      <c r="H81" s="126"/>
      <c r="I81" s="41" t="s">
        <v>460</v>
      </c>
      <c r="J81" s="1141">
        <f>J80</f>
        <v>9600</v>
      </c>
      <c r="K81" s="1386">
        <v>0</v>
      </c>
      <c r="L81" s="1324">
        <f>SUM(J81:K81)</f>
        <v>9600</v>
      </c>
      <c r="M81" s="1462">
        <f>M80</f>
        <v>0.96</v>
      </c>
      <c r="N81" s="1463">
        <v>0</v>
      </c>
      <c r="O81" s="1440">
        <f>SUM(M81:N81)</f>
        <v>0.96</v>
      </c>
      <c r="P81" s="31"/>
      <c r="Q81"/>
      <c r="W81" s="2523">
        <f t="shared" si="0"/>
        <v>9600</v>
      </c>
      <c r="X81" s="2538">
        <f>X80</f>
        <v>8000</v>
      </c>
    </row>
    <row r="82" spans="1:24" ht="18.75">
      <c r="A82" s="32"/>
      <c r="B82" s="34"/>
      <c r="C82" s="52"/>
      <c r="D82" s="36"/>
      <c r="E82" s="36"/>
      <c r="F82" s="36"/>
      <c r="G82" s="36"/>
      <c r="H82" s="36"/>
      <c r="I82" s="41"/>
      <c r="J82" s="1141"/>
      <c r="K82" s="1347"/>
      <c r="L82" s="1324"/>
      <c r="M82" s="1462"/>
      <c r="N82" s="1465"/>
      <c r="O82" s="1440"/>
      <c r="P82" s="31"/>
      <c r="Q82"/>
      <c r="W82" s="2523">
        <f t="shared" si="0"/>
        <v>0</v>
      </c>
      <c r="X82" s="2538"/>
    </row>
    <row r="83" spans="1:26" s="19" customFormat="1" ht="18.75">
      <c r="A83" s="1015">
        <v>4</v>
      </c>
      <c r="B83" s="1016" t="s">
        <v>523</v>
      </c>
      <c r="C83" s="1017"/>
      <c r="D83" s="37"/>
      <c r="E83" s="37"/>
      <c r="F83" s="37"/>
      <c r="G83" s="37"/>
      <c r="H83" s="37"/>
      <c r="I83" s="713"/>
      <c r="J83" s="1141"/>
      <c r="K83" s="1347"/>
      <c r="L83" s="1329"/>
      <c r="M83" s="1462"/>
      <c r="N83" s="1465"/>
      <c r="O83" s="1443"/>
      <c r="P83" s="38"/>
      <c r="Q83" s="6"/>
      <c r="R83" s="2509"/>
      <c r="S83" s="2509"/>
      <c r="T83" s="2509"/>
      <c r="U83" s="2509"/>
      <c r="V83" s="2509"/>
      <c r="W83" s="2523">
        <f t="shared" si="0"/>
        <v>0</v>
      </c>
      <c r="X83" s="2538"/>
      <c r="Y83" s="2509"/>
      <c r="Z83" s="2509"/>
    </row>
    <row r="84" spans="1:26" s="19" customFormat="1" ht="18">
      <c r="A84" s="39"/>
      <c r="B84" s="40"/>
      <c r="C84" s="1536" t="s">
        <v>524</v>
      </c>
      <c r="D84" s="1537"/>
      <c r="E84" s="1537"/>
      <c r="F84" s="1537"/>
      <c r="G84" s="1537"/>
      <c r="H84" s="1537"/>
      <c r="I84" s="713"/>
      <c r="J84" s="1141"/>
      <c r="K84" s="1347"/>
      <c r="L84" s="1329"/>
      <c r="M84" s="1462"/>
      <c r="N84" s="1465"/>
      <c r="O84" s="1443"/>
      <c r="P84" s="38"/>
      <c r="Q84" s="6"/>
      <c r="R84" s="2509"/>
      <c r="S84" s="2509"/>
      <c r="T84" s="2509"/>
      <c r="U84" s="2509"/>
      <c r="V84" s="2509"/>
      <c r="W84" s="2523">
        <f t="shared" si="0"/>
        <v>0</v>
      </c>
      <c r="X84" s="2538"/>
      <c r="Y84" s="2509"/>
      <c r="Z84" s="2509"/>
    </row>
    <row r="85" spans="1:26" s="19" customFormat="1" ht="18.75">
      <c r="A85" s="39" t="s">
        <v>525</v>
      </c>
      <c r="B85" s="40"/>
      <c r="C85" s="1537" t="s">
        <v>526</v>
      </c>
      <c r="D85" s="1537"/>
      <c r="E85" s="1537"/>
      <c r="F85" s="1537"/>
      <c r="G85" s="1537"/>
      <c r="H85" s="1537"/>
      <c r="I85" s="1509" t="s">
        <v>527</v>
      </c>
      <c r="J85" s="1141">
        <v>8900</v>
      </c>
      <c r="K85" s="1386">
        <f>'[1]ПНО'!$G$10</f>
        <v>0.011399999999999999</v>
      </c>
      <c r="L85" s="1330">
        <f>SUM(J85:K85)</f>
        <v>8900.0114</v>
      </c>
      <c r="M85" s="1462">
        <f>J85/10000</f>
        <v>0.89</v>
      </c>
      <c r="N85" s="1463">
        <f>K85</f>
        <v>0.011399999999999999</v>
      </c>
      <c r="O85" s="1440">
        <f>SUM(M85:N85)</f>
        <v>0.9014</v>
      </c>
      <c r="P85" s="38"/>
      <c r="Q85" s="6"/>
      <c r="R85" s="2514"/>
      <c r="S85" s="2509"/>
      <c r="T85" s="2509"/>
      <c r="U85" s="2509"/>
      <c r="V85" s="2509"/>
      <c r="W85" s="2523">
        <f t="shared" si="0"/>
        <v>8880</v>
      </c>
      <c r="X85" s="2538">
        <v>7400</v>
      </c>
      <c r="Y85" s="2509"/>
      <c r="Z85" s="2509"/>
    </row>
    <row r="86" spans="1:26" s="19" customFormat="1" ht="18.75">
      <c r="A86" s="39" t="s">
        <v>528</v>
      </c>
      <c r="B86" s="40"/>
      <c r="C86" s="2230" t="s">
        <v>916</v>
      </c>
      <c r="D86" s="2230"/>
      <c r="E86" s="2230"/>
      <c r="F86" s="2230"/>
      <c r="G86" s="2230"/>
      <c r="H86" s="2230"/>
      <c r="I86" s="1187"/>
      <c r="J86" s="1141"/>
      <c r="K86" s="1347"/>
      <c r="L86" s="1332"/>
      <c r="M86" s="1462"/>
      <c r="N86" s="1465"/>
      <c r="O86" s="1444"/>
      <c r="P86" s="38"/>
      <c r="Q86" s="6"/>
      <c r="R86" s="2509"/>
      <c r="S86" s="2509"/>
      <c r="T86" s="2509"/>
      <c r="U86" s="2509"/>
      <c r="V86" s="2509"/>
      <c r="W86" s="2523">
        <f aca="true" t="shared" si="1" ref="W86:W149">X86*1.2</f>
        <v>0</v>
      </c>
      <c r="X86" s="2538"/>
      <c r="Y86" s="2509"/>
      <c r="Z86" s="2509"/>
    </row>
    <row r="87" spans="1:26" s="19" customFormat="1" ht="18.75">
      <c r="A87" s="39"/>
      <c r="B87" s="40"/>
      <c r="C87" s="2230"/>
      <c r="D87" s="2230"/>
      <c r="E87" s="2230"/>
      <c r="F87" s="2230"/>
      <c r="G87" s="2230"/>
      <c r="H87" s="2230"/>
      <c r="I87" s="1187"/>
      <c r="J87" s="1141"/>
      <c r="K87" s="1347"/>
      <c r="L87" s="1332"/>
      <c r="M87" s="1462"/>
      <c r="N87" s="1465"/>
      <c r="O87" s="1444"/>
      <c r="P87" s="38"/>
      <c r="Q87" s="6"/>
      <c r="R87" s="2509"/>
      <c r="S87" s="2509"/>
      <c r="T87" s="2509"/>
      <c r="U87" s="2509"/>
      <c r="V87" s="2509"/>
      <c r="W87" s="2523">
        <f t="shared" si="1"/>
        <v>0</v>
      </c>
      <c r="X87" s="2538"/>
      <c r="Y87" s="2509"/>
      <c r="Z87" s="2509"/>
    </row>
    <row r="88" spans="1:26" s="19" customFormat="1" ht="18">
      <c r="A88" s="39"/>
      <c r="B88" s="40"/>
      <c r="C88" s="2230"/>
      <c r="D88" s="2230"/>
      <c r="E88" s="2230"/>
      <c r="F88" s="2230"/>
      <c r="G88" s="2230"/>
      <c r="H88" s="2230"/>
      <c r="I88" s="713"/>
      <c r="J88" s="1141"/>
      <c r="K88" s="1347"/>
      <c r="L88" s="1333"/>
      <c r="M88" s="1462"/>
      <c r="N88" s="1465"/>
      <c r="O88" s="1445"/>
      <c r="P88" s="38"/>
      <c r="Q88" s="6"/>
      <c r="R88" s="2509"/>
      <c r="S88" s="2509"/>
      <c r="T88" s="2509"/>
      <c r="U88" s="2509"/>
      <c r="V88" s="2509"/>
      <c r="W88" s="2523">
        <f t="shared" si="1"/>
        <v>0</v>
      </c>
      <c r="X88" s="2538"/>
      <c r="Y88" s="2509"/>
      <c r="Z88" s="2509"/>
    </row>
    <row r="89" spans="1:26" s="19" customFormat="1" ht="18">
      <c r="A89" s="39"/>
      <c r="B89" s="40"/>
      <c r="C89" s="2230"/>
      <c r="D89" s="2230"/>
      <c r="E89" s="2230"/>
      <c r="F89" s="2230"/>
      <c r="G89" s="2230"/>
      <c r="H89" s="2230"/>
      <c r="I89" s="713"/>
      <c r="J89" s="1141"/>
      <c r="K89" s="1347"/>
      <c r="L89" s="1333"/>
      <c r="M89" s="1462"/>
      <c r="N89" s="1465"/>
      <c r="O89" s="1445"/>
      <c r="P89" s="38"/>
      <c r="Q89" s="6"/>
      <c r="R89" s="2509"/>
      <c r="S89" s="2509"/>
      <c r="T89" s="2509"/>
      <c r="U89" s="2509"/>
      <c r="V89" s="2509"/>
      <c r="W89" s="2523">
        <f t="shared" si="1"/>
        <v>0</v>
      </c>
      <c r="X89" s="2538"/>
      <c r="Y89" s="2509"/>
      <c r="Z89" s="2509"/>
    </row>
    <row r="90" spans="1:26" s="680" customFormat="1" ht="18.75">
      <c r="A90" s="1188"/>
      <c r="B90" s="1189"/>
      <c r="C90" s="2230"/>
      <c r="D90" s="2230"/>
      <c r="E90" s="2230"/>
      <c r="F90" s="2230"/>
      <c r="G90" s="2230"/>
      <c r="H90" s="2230"/>
      <c r="I90" s="1510" t="s">
        <v>527</v>
      </c>
      <c r="J90" s="1142">
        <v>204600</v>
      </c>
      <c r="K90" s="1347">
        <f>'[1]ПНО'!$G$17</f>
        <v>1.9099</v>
      </c>
      <c r="L90" s="1334">
        <f>SUM(J90:K90)</f>
        <v>204601.9099</v>
      </c>
      <c r="M90" s="1462">
        <f>J90/10000</f>
        <v>20.46</v>
      </c>
      <c r="N90" s="1463">
        <f>K90</f>
        <v>1.9099</v>
      </c>
      <c r="O90" s="1440">
        <f>SUM(M90:N90)</f>
        <v>22.3699</v>
      </c>
      <c r="P90" s="641"/>
      <c r="Q90" s="679"/>
      <c r="R90" s="2509"/>
      <c r="S90" s="2509"/>
      <c r="T90" s="2509"/>
      <c r="U90" s="2509"/>
      <c r="V90" s="2509"/>
      <c r="W90" s="2523">
        <f t="shared" si="1"/>
        <v>204600</v>
      </c>
      <c r="X90" s="2538">
        <v>170500</v>
      </c>
      <c r="Y90" s="2509"/>
      <c r="Z90" s="2509"/>
    </row>
    <row r="91" spans="1:26" s="680" customFormat="1" ht="18.75">
      <c r="A91" s="676"/>
      <c r="B91" s="677"/>
      <c r="C91" s="638"/>
      <c r="D91" s="678"/>
      <c r="E91" s="678"/>
      <c r="F91" s="678"/>
      <c r="G91" s="678"/>
      <c r="H91" s="678"/>
      <c r="I91" s="672"/>
      <c r="J91" s="1142"/>
      <c r="K91" s="1390"/>
      <c r="L91" s="1334"/>
      <c r="M91" s="1466"/>
      <c r="N91" s="1467"/>
      <c r="O91" s="1446"/>
      <c r="P91" s="641"/>
      <c r="Q91" s="679"/>
      <c r="R91" s="2509"/>
      <c r="S91" s="2509"/>
      <c r="T91" s="2509"/>
      <c r="U91" s="2509"/>
      <c r="V91" s="2509"/>
      <c r="W91" s="2523">
        <f t="shared" si="1"/>
        <v>0</v>
      </c>
      <c r="X91" s="2538"/>
      <c r="Y91" s="2509"/>
      <c r="Z91" s="2509"/>
    </row>
    <row r="92" spans="1:26" s="28" customFormat="1" ht="18.75">
      <c r="A92" s="1011">
        <v>5</v>
      </c>
      <c r="B92" s="145" t="s">
        <v>529</v>
      </c>
      <c r="C92" s="1018"/>
      <c r="D92" s="36"/>
      <c r="E92" s="36"/>
      <c r="F92" s="36"/>
      <c r="G92" s="36"/>
      <c r="H92" s="36"/>
      <c r="I92" s="41"/>
      <c r="J92" s="1141"/>
      <c r="K92" s="1347"/>
      <c r="L92" s="1335"/>
      <c r="M92" s="1462"/>
      <c r="N92" s="1465"/>
      <c r="O92" s="1447"/>
      <c r="P92" s="22"/>
      <c r="Q92" s="27"/>
      <c r="R92" s="2509"/>
      <c r="S92" s="2509"/>
      <c r="T92" s="2509"/>
      <c r="U92" s="2509"/>
      <c r="V92" s="2509"/>
      <c r="W92" s="2523">
        <f t="shared" si="1"/>
        <v>0</v>
      </c>
      <c r="X92" s="2538"/>
      <c r="Y92" s="2509"/>
      <c r="Z92" s="2509"/>
    </row>
    <row r="93" spans="1:26" s="28" customFormat="1" ht="18">
      <c r="A93" s="32"/>
      <c r="B93" s="45"/>
      <c r="C93" s="1538" t="s">
        <v>530</v>
      </c>
      <c r="D93" s="126"/>
      <c r="E93" s="126"/>
      <c r="F93" s="126"/>
      <c r="G93" s="126"/>
      <c r="H93" s="126"/>
      <c r="I93" s="41"/>
      <c r="J93" s="1141"/>
      <c r="K93" s="1347"/>
      <c r="L93" s="1335"/>
      <c r="M93" s="1462"/>
      <c r="N93" s="1465"/>
      <c r="O93" s="1447"/>
      <c r="P93" s="22"/>
      <c r="Q93" s="27"/>
      <c r="R93" s="2509"/>
      <c r="S93" s="2509"/>
      <c r="T93" s="2509"/>
      <c r="U93" s="2509"/>
      <c r="V93" s="2509"/>
      <c r="W93" s="2523">
        <f t="shared" si="1"/>
        <v>0</v>
      </c>
      <c r="X93" s="2538"/>
      <c r="Y93" s="2509"/>
      <c r="Z93" s="2509"/>
    </row>
    <row r="94" spans="1:26" s="28" customFormat="1" ht="18.75">
      <c r="A94" s="24">
        <v>1</v>
      </c>
      <c r="B94" s="45"/>
      <c r="C94" s="2197" t="s">
        <v>531</v>
      </c>
      <c r="D94" s="2197"/>
      <c r="E94" s="2197"/>
      <c r="F94" s="2197"/>
      <c r="G94" s="2197"/>
      <c r="H94" s="2197"/>
      <c r="I94" s="41" t="s">
        <v>532</v>
      </c>
      <c r="J94" s="1141">
        <v>28200</v>
      </c>
      <c r="K94" s="1386">
        <f>'[1]КВО.'!$G$13</f>
        <v>0.8385</v>
      </c>
      <c r="L94" s="1324">
        <f>SUM(J94:K94)</f>
        <v>28200.8385</v>
      </c>
      <c r="M94" s="1462">
        <f>J94/10000</f>
        <v>2.82</v>
      </c>
      <c r="N94" s="1463">
        <f>K94</f>
        <v>0.8385</v>
      </c>
      <c r="O94" s="1440">
        <f>SUM(M94:N94)</f>
        <v>3.6585</v>
      </c>
      <c r="P94" s="22"/>
      <c r="Q94" s="27"/>
      <c r="R94" s="2514">
        <f>L94-27700</f>
        <v>500.83850000000166</v>
      </c>
      <c r="S94" s="2509"/>
      <c r="T94" s="2509"/>
      <c r="U94" s="2509"/>
      <c r="V94" s="2509"/>
      <c r="W94" s="2523">
        <f t="shared" si="1"/>
        <v>28200</v>
      </c>
      <c r="X94" s="2538">
        <v>23500</v>
      </c>
      <c r="Y94" s="2509"/>
      <c r="Z94" s="2509"/>
    </row>
    <row r="95" spans="1:26" s="28" customFormat="1" ht="18.75">
      <c r="A95" s="24"/>
      <c r="B95" s="45"/>
      <c r="C95" s="2197"/>
      <c r="D95" s="2197"/>
      <c r="E95" s="2197"/>
      <c r="F95" s="2197"/>
      <c r="G95" s="2197"/>
      <c r="H95" s="2197"/>
      <c r="I95" s="41"/>
      <c r="J95" s="1141"/>
      <c r="K95" s="1386"/>
      <c r="L95" s="1324"/>
      <c r="M95" s="1462"/>
      <c r="N95" s="1463"/>
      <c r="O95" s="1440"/>
      <c r="P95" s="22"/>
      <c r="Q95" s="27"/>
      <c r="R95" s="2509"/>
      <c r="S95" s="2509"/>
      <c r="T95" s="2509"/>
      <c r="U95" s="2509"/>
      <c r="V95" s="2509"/>
      <c r="W95" s="2523">
        <f t="shared" si="1"/>
        <v>0</v>
      </c>
      <c r="X95" s="2538"/>
      <c r="Y95" s="2509"/>
      <c r="Z95" s="2509"/>
    </row>
    <row r="96" spans="1:26" s="28" customFormat="1" ht="18.75">
      <c r="A96" s="24">
        <v>2</v>
      </c>
      <c r="B96" s="45"/>
      <c r="C96" s="2197" t="s">
        <v>533</v>
      </c>
      <c r="D96" s="2197"/>
      <c r="E96" s="2197"/>
      <c r="F96" s="2197"/>
      <c r="G96" s="2197"/>
      <c r="H96" s="2197"/>
      <c r="I96" s="41" t="s">
        <v>532</v>
      </c>
      <c r="J96" s="1141">
        <v>22200</v>
      </c>
      <c r="K96" s="1386">
        <f>'[1]КВО.'!$G$19</f>
        <v>0.8160000000000001</v>
      </c>
      <c r="L96" s="1324">
        <f>SUM(J96:K96)</f>
        <v>22200.816</v>
      </c>
      <c r="M96" s="1462">
        <f>J96/10000</f>
        <v>2.22</v>
      </c>
      <c r="N96" s="1463">
        <f>K96</f>
        <v>0.8160000000000001</v>
      </c>
      <c r="O96" s="1440">
        <f>SUM(M96:N96)</f>
        <v>3.0360000000000005</v>
      </c>
      <c r="P96" s="22"/>
      <c r="Q96" s="27"/>
      <c r="R96" s="2514">
        <f>L96-22550</f>
        <v>-349.1840000000011</v>
      </c>
      <c r="S96" s="2509"/>
      <c r="T96" s="2509"/>
      <c r="U96" s="2509"/>
      <c r="V96" s="2509"/>
      <c r="W96" s="2523">
        <f t="shared" si="1"/>
        <v>22200</v>
      </c>
      <c r="X96" s="2538">
        <v>18500</v>
      </c>
      <c r="Y96" s="2509"/>
      <c r="Z96" s="2509"/>
    </row>
    <row r="97" spans="1:26" s="28" customFormat="1" ht="18.75">
      <c r="A97" s="24"/>
      <c r="B97" s="45"/>
      <c r="C97" s="2197"/>
      <c r="D97" s="2197"/>
      <c r="E97" s="2197"/>
      <c r="F97" s="2197"/>
      <c r="G97" s="2197"/>
      <c r="H97" s="2197"/>
      <c r="I97" s="41"/>
      <c r="J97" s="1141"/>
      <c r="K97" s="1347"/>
      <c r="L97" s="1324"/>
      <c r="M97" s="1462"/>
      <c r="N97" s="1465"/>
      <c r="O97" s="1440"/>
      <c r="P97" s="22"/>
      <c r="Q97" s="27"/>
      <c r="R97" s="2509"/>
      <c r="S97" s="2509"/>
      <c r="T97" s="2509"/>
      <c r="U97" s="2509"/>
      <c r="V97" s="2509"/>
      <c r="W97" s="2523">
        <f t="shared" si="1"/>
        <v>0</v>
      </c>
      <c r="X97" s="2538"/>
      <c r="Y97" s="2509"/>
      <c r="Z97" s="2509"/>
    </row>
    <row r="98" spans="1:26" s="28" customFormat="1" ht="18.75">
      <c r="A98" s="24">
        <v>3</v>
      </c>
      <c r="B98" s="45"/>
      <c r="C98" s="2197" t="s">
        <v>534</v>
      </c>
      <c r="D98" s="2197"/>
      <c r="E98" s="2197"/>
      <c r="F98" s="2197"/>
      <c r="G98" s="2197"/>
      <c r="H98" s="2197"/>
      <c r="I98" s="41" t="s">
        <v>532</v>
      </c>
      <c r="J98" s="1141">
        <v>34200</v>
      </c>
      <c r="K98" s="1386">
        <f>'[1]КВО.'!$G$27</f>
        <v>18900</v>
      </c>
      <c r="L98" s="1324">
        <f>SUM(J98:K98)</f>
        <v>53100</v>
      </c>
      <c r="M98" s="1462">
        <f>J98/10000</f>
        <v>3.42</v>
      </c>
      <c r="N98" s="1463">
        <f>K98/10000</f>
        <v>1.89</v>
      </c>
      <c r="O98" s="1440">
        <f>SUM(M98:N98)</f>
        <v>5.31</v>
      </c>
      <c r="P98" s="22"/>
      <c r="Q98" s="27"/>
      <c r="R98" s="2514">
        <f>L98-35850</f>
        <v>17250</v>
      </c>
      <c r="S98" s="2509"/>
      <c r="T98" s="2509"/>
      <c r="U98" s="2509"/>
      <c r="V98" s="2509"/>
      <c r="W98" s="2523">
        <f t="shared" si="1"/>
        <v>34200</v>
      </c>
      <c r="X98" s="2538">
        <v>28500</v>
      </c>
      <c r="Y98" s="2509"/>
      <c r="Z98" s="2509"/>
    </row>
    <row r="99" spans="1:26" s="28" customFormat="1" ht="18.75">
      <c r="A99" s="24"/>
      <c r="B99" s="45"/>
      <c r="C99" s="2197"/>
      <c r="D99" s="2197"/>
      <c r="E99" s="2197"/>
      <c r="F99" s="2197"/>
      <c r="G99" s="2197"/>
      <c r="H99" s="2197"/>
      <c r="I99" s="41"/>
      <c r="J99" s="1141"/>
      <c r="K99" s="1347"/>
      <c r="L99" s="1324"/>
      <c r="M99" s="1462"/>
      <c r="N99" s="1465"/>
      <c r="O99" s="1440"/>
      <c r="P99" s="22"/>
      <c r="Q99" s="27"/>
      <c r="R99" s="2509"/>
      <c r="S99" s="2509"/>
      <c r="T99" s="2509"/>
      <c r="U99" s="2509"/>
      <c r="V99" s="2509"/>
      <c r="W99" s="2523">
        <f t="shared" si="1"/>
        <v>0</v>
      </c>
      <c r="X99" s="2538"/>
      <c r="Y99" s="2509"/>
      <c r="Z99" s="2509"/>
    </row>
    <row r="100" spans="1:26" s="28" customFormat="1" ht="18.75">
      <c r="A100" s="24">
        <v>4</v>
      </c>
      <c r="B100" s="45"/>
      <c r="C100" s="2197" t="s">
        <v>536</v>
      </c>
      <c r="D100" s="2197"/>
      <c r="E100" s="2197"/>
      <c r="F100" s="2197"/>
      <c r="G100" s="2197"/>
      <c r="H100" s="2197"/>
      <c r="I100" s="41" t="s">
        <v>532</v>
      </c>
      <c r="J100" s="1141">
        <v>28200</v>
      </c>
      <c r="K100" s="1386">
        <f>'[1]КВО.'!$G$33</f>
        <v>1.4160000000000001</v>
      </c>
      <c r="L100" s="1324">
        <f>SUM(J100:K100)</f>
        <v>28201.416</v>
      </c>
      <c r="M100" s="1462">
        <f>J100/10000</f>
        <v>2.82</v>
      </c>
      <c r="N100" s="1463">
        <f>K100</f>
        <v>1.4160000000000001</v>
      </c>
      <c r="O100" s="1440">
        <f>SUM(M100:N100)</f>
        <v>4.236</v>
      </c>
      <c r="P100" s="22"/>
      <c r="Q100" s="27"/>
      <c r="R100" s="2514">
        <f>L100-27550</f>
        <v>651.4160000000011</v>
      </c>
      <c r="S100" s="2509"/>
      <c r="T100" s="2509"/>
      <c r="U100" s="2509"/>
      <c r="V100" s="2509"/>
      <c r="W100" s="2523">
        <f t="shared" si="1"/>
        <v>28200</v>
      </c>
      <c r="X100" s="2538">
        <v>23500</v>
      </c>
      <c r="Y100" s="2509"/>
      <c r="Z100" s="2509"/>
    </row>
    <row r="101" spans="1:26" s="28" customFormat="1" ht="18.75">
      <c r="A101" s="24"/>
      <c r="B101" s="45"/>
      <c r="C101" s="2197"/>
      <c r="D101" s="2197"/>
      <c r="E101" s="2197"/>
      <c r="F101" s="2197"/>
      <c r="G101" s="2197"/>
      <c r="H101" s="2197"/>
      <c r="I101" s="41"/>
      <c r="J101" s="1141"/>
      <c r="K101" s="1347"/>
      <c r="L101" s="1324"/>
      <c r="M101" s="1462"/>
      <c r="N101" s="1465"/>
      <c r="O101" s="1440"/>
      <c r="P101" s="22"/>
      <c r="Q101" s="27"/>
      <c r="R101" s="2509"/>
      <c r="S101" s="2509"/>
      <c r="T101" s="2509"/>
      <c r="U101" s="2509"/>
      <c r="V101" s="2509"/>
      <c r="W101" s="2523">
        <f t="shared" si="1"/>
        <v>0</v>
      </c>
      <c r="X101" s="2538"/>
      <c r="Y101" s="2509"/>
      <c r="Z101" s="2509"/>
    </row>
    <row r="102" spans="1:26" s="28" customFormat="1" ht="18">
      <c r="A102" s="24"/>
      <c r="B102" s="45"/>
      <c r="C102" s="1559" t="s">
        <v>508</v>
      </c>
      <c r="D102" s="17"/>
      <c r="E102" s="17"/>
      <c r="F102" s="17"/>
      <c r="G102" s="17"/>
      <c r="H102" s="17"/>
      <c r="I102" s="41"/>
      <c r="J102" s="1141"/>
      <c r="K102" s="1347"/>
      <c r="L102" s="1327"/>
      <c r="M102" s="1462"/>
      <c r="N102" s="1465"/>
      <c r="O102" s="1441"/>
      <c r="P102" s="22"/>
      <c r="Q102" s="27"/>
      <c r="R102" s="2509"/>
      <c r="S102" s="2509"/>
      <c r="T102" s="2509"/>
      <c r="U102" s="2509"/>
      <c r="V102" s="2509"/>
      <c r="W102" s="2523">
        <f t="shared" si="1"/>
        <v>0</v>
      </c>
      <c r="X102" s="2538"/>
      <c r="Y102" s="2509"/>
      <c r="Z102" s="2509"/>
    </row>
    <row r="103" spans="1:26" s="28" customFormat="1" ht="18.75">
      <c r="A103" s="24">
        <v>5</v>
      </c>
      <c r="B103" s="45"/>
      <c r="C103" s="126" t="s">
        <v>537</v>
      </c>
      <c r="D103" s="126"/>
      <c r="E103" s="126"/>
      <c r="F103" s="126"/>
      <c r="G103" s="126"/>
      <c r="H103" s="126"/>
      <c r="I103" s="41" t="s">
        <v>532</v>
      </c>
      <c r="J103" s="1141">
        <v>27400</v>
      </c>
      <c r="K103" s="1386">
        <f>'[1]КВО.'!$G$40</f>
        <v>0.8160000000000001</v>
      </c>
      <c r="L103" s="1324">
        <f>SUM(J103:K103)</f>
        <v>27400.816</v>
      </c>
      <c r="M103" s="1462">
        <f>J103/10000</f>
        <v>2.74</v>
      </c>
      <c r="N103" s="1463">
        <f>K103</f>
        <v>0.8160000000000001</v>
      </c>
      <c r="O103" s="1440">
        <f>SUM(M103:N103)</f>
        <v>3.556</v>
      </c>
      <c r="P103" s="22"/>
      <c r="Q103" s="27"/>
      <c r="R103" s="2514">
        <f>L103-26800</f>
        <v>600.8159999999989</v>
      </c>
      <c r="S103" s="2509"/>
      <c r="T103" s="2509"/>
      <c r="U103" s="2509"/>
      <c r="V103" s="2509"/>
      <c r="W103" s="2523">
        <f t="shared" si="1"/>
        <v>27360</v>
      </c>
      <c r="X103" s="2538">
        <v>22800</v>
      </c>
      <c r="Y103" s="2509"/>
      <c r="Z103" s="2509"/>
    </row>
    <row r="104" spans="1:26" s="28" customFormat="1" ht="18.75">
      <c r="A104" s="24">
        <v>6</v>
      </c>
      <c r="B104" s="45"/>
      <c r="C104" s="126" t="s">
        <v>538</v>
      </c>
      <c r="D104" s="126"/>
      <c r="E104" s="126"/>
      <c r="F104" s="126"/>
      <c r="G104" s="126"/>
      <c r="H104" s="126"/>
      <c r="I104" s="41" t="s">
        <v>532</v>
      </c>
      <c r="J104" s="1141">
        <v>20500</v>
      </c>
      <c r="K104" s="1386">
        <f>'[1]КВО.'!$G$46</f>
        <v>0.79</v>
      </c>
      <c r="L104" s="1324">
        <f>SUM(J104:K104)</f>
        <v>20500.79</v>
      </c>
      <c r="M104" s="1462">
        <f>J104/10000</f>
        <v>2.05</v>
      </c>
      <c r="N104" s="1463">
        <f>K104</f>
        <v>0.79</v>
      </c>
      <c r="O104" s="1440">
        <f>SUM(M104:N104)</f>
        <v>2.84</v>
      </c>
      <c r="P104" s="22"/>
      <c r="Q104" s="27"/>
      <c r="R104" s="2514">
        <f>L104-21100</f>
        <v>-599.2099999999991</v>
      </c>
      <c r="S104" s="2509"/>
      <c r="T104" s="2509"/>
      <c r="U104" s="2509"/>
      <c r="V104" s="2509"/>
      <c r="W104" s="2523">
        <f t="shared" si="1"/>
        <v>20520</v>
      </c>
      <c r="X104" s="2538">
        <v>17100</v>
      </c>
      <c r="Y104" s="2509"/>
      <c r="Z104" s="2509"/>
    </row>
    <row r="105" spans="1:26" s="28" customFormat="1" ht="18">
      <c r="A105" s="24"/>
      <c r="B105" s="45"/>
      <c r="C105" s="1539" t="s">
        <v>539</v>
      </c>
      <c r="D105" s="126"/>
      <c r="E105" s="126"/>
      <c r="F105" s="126"/>
      <c r="G105" s="126"/>
      <c r="H105" s="126"/>
      <c r="I105" s="41"/>
      <c r="J105" s="1141"/>
      <c r="K105" s="1347"/>
      <c r="L105" s="1327"/>
      <c r="M105" s="1462"/>
      <c r="N105" s="1465"/>
      <c r="O105" s="1441"/>
      <c r="P105" s="22"/>
      <c r="Q105" s="27"/>
      <c r="R105" s="2509"/>
      <c r="S105" s="2509"/>
      <c r="T105" s="2509"/>
      <c r="U105" s="2509"/>
      <c r="V105" s="2509"/>
      <c r="W105" s="2523">
        <f t="shared" si="1"/>
        <v>0</v>
      </c>
      <c r="X105" s="2538"/>
      <c r="Y105" s="2509"/>
      <c r="Z105" s="2509"/>
    </row>
    <row r="106" spans="1:26" s="28" customFormat="1" ht="18">
      <c r="A106" s="24"/>
      <c r="B106" s="45"/>
      <c r="C106" s="1539" t="s">
        <v>540</v>
      </c>
      <c r="D106" s="126"/>
      <c r="E106" s="126"/>
      <c r="F106" s="126"/>
      <c r="G106" s="126"/>
      <c r="H106" s="126"/>
      <c r="I106" s="41"/>
      <c r="J106" s="1141"/>
      <c r="K106" s="1347"/>
      <c r="L106" s="1327"/>
      <c r="M106" s="1462"/>
      <c r="N106" s="1465"/>
      <c r="O106" s="1441"/>
      <c r="P106" s="22"/>
      <c r="Q106" s="27"/>
      <c r="R106" s="2509"/>
      <c r="S106" s="2509"/>
      <c r="T106" s="2509"/>
      <c r="U106" s="2509"/>
      <c r="V106" s="2509"/>
      <c r="W106" s="2523">
        <f t="shared" si="1"/>
        <v>0</v>
      </c>
      <c r="X106" s="2538"/>
      <c r="Y106" s="2509"/>
      <c r="Z106" s="2509"/>
    </row>
    <row r="107" spans="1:26" s="28" customFormat="1" ht="18.75">
      <c r="A107" s="24">
        <v>7</v>
      </c>
      <c r="B107" s="45"/>
      <c r="C107" s="2197" t="s">
        <v>541</v>
      </c>
      <c r="D107" s="2197"/>
      <c r="E107" s="2197"/>
      <c r="F107" s="2197"/>
      <c r="G107" s="2197"/>
      <c r="H107" s="2197"/>
      <c r="I107" s="41" t="s">
        <v>542</v>
      </c>
      <c r="J107" s="1141">
        <v>8400</v>
      </c>
      <c r="K107" s="1386">
        <f>'[1]КВО.'!$G$57</f>
        <v>0.8714000000000001</v>
      </c>
      <c r="L107" s="1324">
        <f>SUM(J107:K107)</f>
        <v>8400.8714</v>
      </c>
      <c r="M107" s="1462">
        <f>J107/10000</f>
        <v>0.84</v>
      </c>
      <c r="N107" s="1463">
        <f>K107</f>
        <v>0.8714000000000001</v>
      </c>
      <c r="O107" s="1440">
        <f>SUM(M107:N107)</f>
        <v>1.7114</v>
      </c>
      <c r="P107" s="22"/>
      <c r="Q107" s="27"/>
      <c r="R107" s="2514">
        <f>L107-11350</f>
        <v>-2949.1286</v>
      </c>
      <c r="S107" s="2509"/>
      <c r="T107" s="2509"/>
      <c r="U107" s="2509"/>
      <c r="V107" s="2509"/>
      <c r="W107" s="2523">
        <f t="shared" si="1"/>
        <v>8400</v>
      </c>
      <c r="X107" s="2538">
        <v>7000</v>
      </c>
      <c r="Y107" s="2509"/>
      <c r="Z107" s="2509"/>
    </row>
    <row r="108" spans="1:26" s="28" customFormat="1" ht="18.75">
      <c r="A108" s="24"/>
      <c r="B108" s="45"/>
      <c r="C108" s="2197"/>
      <c r="D108" s="2197"/>
      <c r="E108" s="2197"/>
      <c r="F108" s="2197"/>
      <c r="G108" s="2197"/>
      <c r="H108" s="2197"/>
      <c r="I108" s="41"/>
      <c r="J108" s="1141"/>
      <c r="K108" s="1347"/>
      <c r="L108" s="1324"/>
      <c r="M108" s="1462"/>
      <c r="N108" s="1465"/>
      <c r="O108" s="1440"/>
      <c r="P108" s="22"/>
      <c r="Q108" s="27"/>
      <c r="R108" s="2509"/>
      <c r="S108" s="2509"/>
      <c r="T108" s="2509"/>
      <c r="U108" s="2509"/>
      <c r="V108" s="2509"/>
      <c r="W108" s="2523">
        <f t="shared" si="1"/>
        <v>0</v>
      </c>
      <c r="X108" s="2538"/>
      <c r="Y108" s="2509"/>
      <c r="Z108" s="2509"/>
    </row>
    <row r="109" spans="1:26" s="28" customFormat="1" ht="18">
      <c r="A109" s="24">
        <v>8</v>
      </c>
      <c r="B109" s="45"/>
      <c r="C109" s="2197" t="s">
        <v>543</v>
      </c>
      <c r="D109" s="2197"/>
      <c r="E109" s="2197"/>
      <c r="F109" s="2197"/>
      <c r="G109" s="2197"/>
      <c r="H109" s="2197"/>
      <c r="I109" s="41"/>
      <c r="J109" s="1141"/>
      <c r="K109" s="1347"/>
      <c r="L109" s="1327"/>
      <c r="M109" s="1462"/>
      <c r="N109" s="1465"/>
      <c r="O109" s="1441"/>
      <c r="P109" s="22"/>
      <c r="Q109" s="27"/>
      <c r="R109" s="2509"/>
      <c r="S109" s="2509"/>
      <c r="T109" s="2509"/>
      <c r="U109" s="2509"/>
      <c r="V109" s="2509"/>
      <c r="W109" s="2523">
        <f t="shared" si="1"/>
        <v>0</v>
      </c>
      <c r="X109" s="2538"/>
      <c r="Y109" s="2509"/>
      <c r="Z109" s="2509"/>
    </row>
    <row r="110" spans="1:26" s="28" customFormat="1" ht="18.75">
      <c r="A110" s="24"/>
      <c r="B110" s="45"/>
      <c r="C110" s="2197"/>
      <c r="D110" s="2197"/>
      <c r="E110" s="2197"/>
      <c r="F110" s="2197"/>
      <c r="G110" s="2197"/>
      <c r="H110" s="2197"/>
      <c r="I110" s="41" t="s">
        <v>542</v>
      </c>
      <c r="J110" s="1141">
        <v>9600</v>
      </c>
      <c r="K110" s="1386">
        <f>'[1]КВО.'!$G$69</f>
        <v>1.0414</v>
      </c>
      <c r="L110" s="1324">
        <f>SUM(J110:K110)</f>
        <v>9601.0414</v>
      </c>
      <c r="M110" s="1462">
        <f>J110/10000</f>
        <v>0.96</v>
      </c>
      <c r="N110" s="1463">
        <f>K110</f>
        <v>1.0414</v>
      </c>
      <c r="O110" s="1440">
        <f>SUM(M110:N110)</f>
        <v>2.0014000000000003</v>
      </c>
      <c r="P110" s="22"/>
      <c r="Q110" s="27"/>
      <c r="R110" s="2514">
        <f>L110-12600</f>
        <v>-2998.9586</v>
      </c>
      <c r="S110" s="2509"/>
      <c r="T110" s="2509"/>
      <c r="U110" s="2509"/>
      <c r="V110" s="2509"/>
      <c r="W110" s="2523">
        <f t="shared" si="1"/>
        <v>9600</v>
      </c>
      <c r="X110" s="2538">
        <v>8000</v>
      </c>
      <c r="Y110" s="2509"/>
      <c r="Z110" s="2509"/>
    </row>
    <row r="111" spans="1:26" s="28" customFormat="1" ht="18">
      <c r="A111" s="24">
        <v>9</v>
      </c>
      <c r="B111" s="45"/>
      <c r="C111" s="2197" t="s">
        <v>544</v>
      </c>
      <c r="D111" s="2197"/>
      <c r="E111" s="2197"/>
      <c r="F111" s="2197"/>
      <c r="G111" s="2197"/>
      <c r="H111" s="2197"/>
      <c r="I111" s="41"/>
      <c r="J111" s="1141"/>
      <c r="K111" s="1347"/>
      <c r="L111" s="1327"/>
      <c r="M111" s="1462"/>
      <c r="N111" s="1465"/>
      <c r="O111" s="1441"/>
      <c r="P111" s="22"/>
      <c r="Q111" s="27"/>
      <c r="R111" s="2509"/>
      <c r="S111" s="2509"/>
      <c r="T111" s="2509"/>
      <c r="U111" s="2509"/>
      <c r="V111" s="2509"/>
      <c r="W111" s="2523">
        <f t="shared" si="1"/>
        <v>0</v>
      </c>
      <c r="X111" s="2538"/>
      <c r="Y111" s="2509"/>
      <c r="Z111" s="2509"/>
    </row>
    <row r="112" spans="1:26" s="28" customFormat="1" ht="18.75">
      <c r="A112" s="24"/>
      <c r="B112" s="45"/>
      <c r="C112" s="2197"/>
      <c r="D112" s="2197"/>
      <c r="E112" s="2197"/>
      <c r="F112" s="2197"/>
      <c r="G112" s="2197"/>
      <c r="H112" s="2197"/>
      <c r="I112" s="41" t="s">
        <v>542</v>
      </c>
      <c r="J112" s="1141">
        <v>8400</v>
      </c>
      <c r="K112" s="1386">
        <f>'[1]КВО.'!$G$81</f>
        <v>1.0414</v>
      </c>
      <c r="L112" s="1324">
        <f>SUM(J112:K112)</f>
        <v>8401.0414</v>
      </c>
      <c r="M112" s="1462">
        <f>J112/10000</f>
        <v>0.84</v>
      </c>
      <c r="N112" s="1463">
        <f>K112</f>
        <v>1.0414</v>
      </c>
      <c r="O112" s="1440">
        <f>SUM(M112:N112)</f>
        <v>1.8814000000000002</v>
      </c>
      <c r="P112" s="22"/>
      <c r="Q112" s="27"/>
      <c r="R112" s="2514">
        <f>L112-11600</f>
        <v>-3198.9586</v>
      </c>
      <c r="S112" s="2509"/>
      <c r="T112" s="2509"/>
      <c r="U112" s="2509"/>
      <c r="V112" s="2509"/>
      <c r="W112" s="2523">
        <f t="shared" si="1"/>
        <v>8400</v>
      </c>
      <c r="X112" s="2538">
        <v>7000</v>
      </c>
      <c r="Y112" s="2509"/>
      <c r="Z112" s="2509"/>
    </row>
    <row r="113" spans="1:26" s="28" customFormat="1" ht="18">
      <c r="A113" s="24">
        <v>10</v>
      </c>
      <c r="B113" s="45"/>
      <c r="C113" s="2197" t="s">
        <v>545</v>
      </c>
      <c r="D113" s="2197"/>
      <c r="E113" s="2197"/>
      <c r="F113" s="2197"/>
      <c r="G113" s="2197"/>
      <c r="H113" s="2197"/>
      <c r="I113" s="41"/>
      <c r="J113" s="1141"/>
      <c r="K113" s="1347"/>
      <c r="L113" s="1327"/>
      <c r="M113" s="1462"/>
      <c r="N113" s="1465"/>
      <c r="O113" s="1441"/>
      <c r="P113" s="22"/>
      <c r="Q113" s="27"/>
      <c r="R113" s="2509"/>
      <c r="S113" s="2509"/>
      <c r="T113" s="2509"/>
      <c r="U113" s="2509"/>
      <c r="V113" s="2509"/>
      <c r="W113" s="2523">
        <f t="shared" si="1"/>
        <v>0</v>
      </c>
      <c r="X113" s="2538"/>
      <c r="Y113" s="2509"/>
      <c r="Z113" s="2509"/>
    </row>
    <row r="114" spans="1:26" s="28" customFormat="1" ht="18.75">
      <c r="A114" s="24"/>
      <c r="B114" s="45"/>
      <c r="C114" s="2197"/>
      <c r="D114" s="2197"/>
      <c r="E114" s="2197"/>
      <c r="F114" s="2197"/>
      <c r="G114" s="2197"/>
      <c r="H114" s="2197"/>
      <c r="I114" s="41" t="s">
        <v>542</v>
      </c>
      <c r="J114" s="1141">
        <v>8400</v>
      </c>
      <c r="K114" s="1386">
        <f>'[1]КВО.'!$G$93</f>
        <v>1.0414</v>
      </c>
      <c r="L114" s="1324">
        <f>SUM(J114:K114)</f>
        <v>8401.0414</v>
      </c>
      <c r="M114" s="1462">
        <f>J114/10000</f>
        <v>0.84</v>
      </c>
      <c r="N114" s="1463">
        <f>K114</f>
        <v>1.0414</v>
      </c>
      <c r="O114" s="1440">
        <f>SUM(M114:N114)</f>
        <v>1.8814000000000002</v>
      </c>
      <c r="P114" s="22"/>
      <c r="Q114" s="27"/>
      <c r="R114" s="2514">
        <f>L114-11600</f>
        <v>-3198.9586</v>
      </c>
      <c r="S114" s="2509"/>
      <c r="T114" s="2509"/>
      <c r="U114" s="2509"/>
      <c r="V114" s="2509"/>
      <c r="W114" s="2523">
        <f t="shared" si="1"/>
        <v>8400</v>
      </c>
      <c r="X114" s="2538">
        <v>7000</v>
      </c>
      <c r="Y114" s="2509"/>
      <c r="Z114" s="2509"/>
    </row>
    <row r="115" spans="1:26" s="28" customFormat="1" ht="18">
      <c r="A115" s="24">
        <v>11</v>
      </c>
      <c r="B115" s="45"/>
      <c r="C115" s="2197" t="s">
        <v>546</v>
      </c>
      <c r="D115" s="2197"/>
      <c r="E115" s="2197"/>
      <c r="F115" s="2197"/>
      <c r="G115" s="2197"/>
      <c r="H115" s="2197"/>
      <c r="I115" s="41"/>
      <c r="J115" s="1141"/>
      <c r="K115" s="1347"/>
      <c r="L115" s="1327"/>
      <c r="M115" s="1462"/>
      <c r="N115" s="1465"/>
      <c r="O115" s="1441"/>
      <c r="P115" s="22"/>
      <c r="Q115" s="27"/>
      <c r="R115" s="2509"/>
      <c r="S115" s="2509"/>
      <c r="T115" s="2509"/>
      <c r="U115" s="2509"/>
      <c r="V115" s="2509"/>
      <c r="W115" s="2523">
        <f t="shared" si="1"/>
        <v>0</v>
      </c>
      <c r="X115" s="2538"/>
      <c r="Y115" s="2509"/>
      <c r="Z115" s="2509"/>
    </row>
    <row r="116" spans="1:26" s="28" customFormat="1" ht="18.75">
      <c r="A116" s="24"/>
      <c r="B116" s="45"/>
      <c r="C116" s="2197"/>
      <c r="D116" s="2197"/>
      <c r="E116" s="2197"/>
      <c r="F116" s="2197"/>
      <c r="G116" s="2197"/>
      <c r="H116" s="2197"/>
      <c r="I116" s="41" t="s">
        <v>542</v>
      </c>
      <c r="J116" s="1141">
        <v>9600</v>
      </c>
      <c r="K116" s="1386">
        <f>'[1]КВО.'!$G$105</f>
        <v>1.0414</v>
      </c>
      <c r="L116" s="1324">
        <f>SUM(J116:K116)</f>
        <v>9601.0414</v>
      </c>
      <c r="M116" s="1462">
        <f>J116/10000</f>
        <v>0.96</v>
      </c>
      <c r="N116" s="1463">
        <f>K116</f>
        <v>1.0414</v>
      </c>
      <c r="O116" s="1440">
        <f>SUM(M116:N116)</f>
        <v>2.0014000000000003</v>
      </c>
      <c r="P116" s="22"/>
      <c r="Q116" s="27"/>
      <c r="R116" s="2509">
        <v>-400</v>
      </c>
      <c r="S116" s="2509"/>
      <c r="T116" s="2509"/>
      <c r="U116" s="2509"/>
      <c r="V116" s="2509"/>
      <c r="W116" s="2523">
        <f t="shared" si="1"/>
        <v>9600</v>
      </c>
      <c r="X116" s="2538">
        <v>8000</v>
      </c>
      <c r="Y116" s="2509"/>
      <c r="Z116" s="2509"/>
    </row>
    <row r="117" spans="1:26" s="28" customFormat="1" ht="18">
      <c r="A117" s="24">
        <v>12</v>
      </c>
      <c r="B117" s="45"/>
      <c r="C117" s="2197" t="s">
        <v>547</v>
      </c>
      <c r="D117" s="2197"/>
      <c r="E117" s="2197"/>
      <c r="F117" s="2197"/>
      <c r="G117" s="2197"/>
      <c r="H117" s="2197"/>
      <c r="I117" s="41"/>
      <c r="J117" s="1141"/>
      <c r="K117" s="1347"/>
      <c r="L117" s="1327"/>
      <c r="M117" s="1462"/>
      <c r="N117" s="1465"/>
      <c r="O117" s="1441"/>
      <c r="P117" s="22"/>
      <c r="Q117" s="27"/>
      <c r="R117" s="2509"/>
      <c r="S117" s="2509"/>
      <c r="T117" s="2509"/>
      <c r="U117" s="2509"/>
      <c r="V117" s="2509"/>
      <c r="W117" s="2523">
        <f t="shared" si="1"/>
        <v>0</v>
      </c>
      <c r="X117" s="2538"/>
      <c r="Y117" s="2509"/>
      <c r="Z117" s="2509"/>
    </row>
    <row r="118" spans="1:26" s="28" customFormat="1" ht="18.75">
      <c r="A118" s="24"/>
      <c r="B118" s="45"/>
      <c r="C118" s="2197"/>
      <c r="D118" s="2197"/>
      <c r="E118" s="2197"/>
      <c r="F118" s="2197"/>
      <c r="G118" s="2197"/>
      <c r="H118" s="2197"/>
      <c r="I118" s="41" t="s">
        <v>542</v>
      </c>
      <c r="J118" s="1141">
        <v>8400</v>
      </c>
      <c r="K118" s="1386">
        <f>'[1]КВО.'!$G$115</f>
        <v>0.8714000000000001</v>
      </c>
      <c r="L118" s="1324">
        <f>SUM(J118:K118)</f>
        <v>8400.8714</v>
      </c>
      <c r="M118" s="1462">
        <f>J118/10000</f>
        <v>0.84</v>
      </c>
      <c r="N118" s="1463">
        <f>K118</f>
        <v>0.8714000000000001</v>
      </c>
      <c r="O118" s="1440">
        <f>SUM(M118:N118)</f>
        <v>1.7114</v>
      </c>
      <c r="P118" s="22"/>
      <c r="Q118" s="27"/>
      <c r="R118" s="2514">
        <f>L118-11350</f>
        <v>-2949.1286</v>
      </c>
      <c r="S118" s="2509"/>
      <c r="T118" s="2509"/>
      <c r="U118" s="2509"/>
      <c r="V118" s="2509"/>
      <c r="W118" s="2523">
        <f t="shared" si="1"/>
        <v>8400</v>
      </c>
      <c r="X118" s="2538">
        <v>7000</v>
      </c>
      <c r="Y118" s="2509"/>
      <c r="Z118" s="2509"/>
    </row>
    <row r="119" spans="1:26" s="28" customFormat="1" ht="18">
      <c r="A119" s="24">
        <v>13</v>
      </c>
      <c r="B119" s="45"/>
      <c r="C119" s="2197" t="s">
        <v>548</v>
      </c>
      <c r="D119" s="2197"/>
      <c r="E119" s="2197"/>
      <c r="F119" s="2197"/>
      <c r="G119" s="2197"/>
      <c r="H119" s="2197"/>
      <c r="I119" s="41"/>
      <c r="J119" s="1141"/>
      <c r="K119" s="1347"/>
      <c r="L119" s="1327"/>
      <c r="M119" s="1462"/>
      <c r="N119" s="1465"/>
      <c r="O119" s="1441"/>
      <c r="P119" s="22"/>
      <c r="Q119" s="27"/>
      <c r="R119" s="2509"/>
      <c r="S119" s="2509"/>
      <c r="T119" s="2509"/>
      <c r="U119" s="2509"/>
      <c r="V119" s="2509"/>
      <c r="W119" s="2523">
        <f t="shared" si="1"/>
        <v>0</v>
      </c>
      <c r="X119" s="2538"/>
      <c r="Y119" s="2509"/>
      <c r="Z119" s="2509"/>
    </row>
    <row r="120" spans="1:26" s="28" customFormat="1" ht="18.75">
      <c r="A120" s="24"/>
      <c r="B120" s="45"/>
      <c r="C120" s="2197"/>
      <c r="D120" s="2197"/>
      <c r="E120" s="2197"/>
      <c r="F120" s="2197"/>
      <c r="G120" s="2197"/>
      <c r="H120" s="2197"/>
      <c r="I120" s="41" t="s">
        <v>542</v>
      </c>
      <c r="J120" s="1141">
        <v>8400</v>
      </c>
      <c r="K120" s="1386">
        <f>'[1]КВО.'!$G$127</f>
        <v>1.0414</v>
      </c>
      <c r="L120" s="1324">
        <f>SUM(J120:K120)</f>
        <v>8401.0414</v>
      </c>
      <c r="M120" s="1462">
        <f>J120/10000</f>
        <v>0.84</v>
      </c>
      <c r="N120" s="1463">
        <f>K120</f>
        <v>1.0414</v>
      </c>
      <c r="O120" s="1440">
        <f>SUM(M120:N120)</f>
        <v>1.8814000000000002</v>
      </c>
      <c r="P120" s="22"/>
      <c r="Q120" s="27"/>
      <c r="R120" s="2509">
        <v>-350</v>
      </c>
      <c r="S120" s="2509"/>
      <c r="T120" s="2509"/>
      <c r="U120" s="2509"/>
      <c r="V120" s="2509"/>
      <c r="W120" s="2523">
        <f t="shared" si="1"/>
        <v>8400</v>
      </c>
      <c r="X120" s="2538">
        <v>7000</v>
      </c>
      <c r="Y120" s="2509"/>
      <c r="Z120" s="2509"/>
    </row>
    <row r="121" spans="1:26" s="28" customFormat="1" ht="18">
      <c r="A121" s="24">
        <v>14</v>
      </c>
      <c r="B121" s="45"/>
      <c r="C121" s="2197" t="s">
        <v>549</v>
      </c>
      <c r="D121" s="2197"/>
      <c r="E121" s="2197"/>
      <c r="F121" s="2197"/>
      <c r="G121" s="2197"/>
      <c r="H121" s="2197"/>
      <c r="I121" s="41"/>
      <c r="J121" s="1141"/>
      <c r="K121" s="1347"/>
      <c r="L121" s="1327"/>
      <c r="M121" s="1462"/>
      <c r="N121" s="1465"/>
      <c r="O121" s="1441"/>
      <c r="P121" s="22"/>
      <c r="Q121" s="27"/>
      <c r="R121" s="2509"/>
      <c r="S121" s="2509"/>
      <c r="T121" s="2509"/>
      <c r="U121" s="2509"/>
      <c r="V121" s="2509"/>
      <c r="W121" s="2523">
        <f t="shared" si="1"/>
        <v>0</v>
      </c>
      <c r="X121" s="2538"/>
      <c r="Y121" s="2509"/>
      <c r="Z121" s="2509"/>
    </row>
    <row r="122" spans="1:26" s="28" customFormat="1" ht="18.75">
      <c r="A122" s="24"/>
      <c r="B122" s="45"/>
      <c r="C122" s="2197"/>
      <c r="D122" s="2197"/>
      <c r="E122" s="2197"/>
      <c r="F122" s="2197"/>
      <c r="G122" s="2197"/>
      <c r="H122" s="2197"/>
      <c r="I122" s="41" t="s">
        <v>542</v>
      </c>
      <c r="J122" s="1141">
        <v>35800</v>
      </c>
      <c r="K122" s="1386">
        <f>'[1]КВО.'!$G$139</f>
        <v>1.0424000000000002</v>
      </c>
      <c r="L122" s="1324">
        <f>SUM(J122:K122)</f>
        <v>35801.0424</v>
      </c>
      <c r="M122" s="1462">
        <f>J122/10000</f>
        <v>3.58</v>
      </c>
      <c r="N122" s="1463">
        <f>K122</f>
        <v>1.0424000000000002</v>
      </c>
      <c r="O122" s="1440">
        <f>SUM(M122:N122)</f>
        <v>4.622400000000001</v>
      </c>
      <c r="P122" s="22"/>
      <c r="Q122" s="27"/>
      <c r="R122" s="2509">
        <v>-300</v>
      </c>
      <c r="S122" s="2509"/>
      <c r="T122" s="2509"/>
      <c r="U122" s="2509"/>
      <c r="V122" s="2509"/>
      <c r="W122" s="2523">
        <f t="shared" si="1"/>
        <v>35760</v>
      </c>
      <c r="X122" s="2538">
        <v>29800</v>
      </c>
      <c r="Y122" s="2509"/>
      <c r="Z122" s="2509"/>
    </row>
    <row r="123" spans="1:26" s="28" customFormat="1" ht="18.75">
      <c r="A123" s="24">
        <v>15</v>
      </c>
      <c r="B123" s="45"/>
      <c r="C123" s="126" t="s">
        <v>550</v>
      </c>
      <c r="D123" s="126"/>
      <c r="E123" s="126"/>
      <c r="F123" s="126"/>
      <c r="G123" s="126"/>
      <c r="H123" s="126"/>
      <c r="I123" s="41" t="s">
        <v>542</v>
      </c>
      <c r="J123" s="1141">
        <v>6100</v>
      </c>
      <c r="K123" s="1386">
        <f>'[1]КВО.'!$G$148</f>
        <v>1.1475</v>
      </c>
      <c r="L123" s="1324">
        <f>SUM(J123:K123)</f>
        <v>6101.1475</v>
      </c>
      <c r="M123" s="1462">
        <f>J123/10000</f>
        <v>0.61</v>
      </c>
      <c r="N123" s="1463">
        <f>K123</f>
        <v>1.1475</v>
      </c>
      <c r="O123" s="1440">
        <f>SUM(M123:N123)</f>
        <v>1.7574999999999998</v>
      </c>
      <c r="P123" s="22"/>
      <c r="Q123" s="27"/>
      <c r="R123" s="2514">
        <f>L123-10450</f>
        <v>-4348.8525</v>
      </c>
      <c r="S123" s="2509"/>
      <c r="T123" s="2509"/>
      <c r="U123" s="2509"/>
      <c r="V123" s="2509"/>
      <c r="W123" s="2523">
        <f t="shared" si="1"/>
        <v>6120</v>
      </c>
      <c r="X123" s="2538">
        <v>5100</v>
      </c>
      <c r="Y123" s="2509"/>
      <c r="Z123" s="2509"/>
    </row>
    <row r="124" spans="1:26" s="28" customFormat="1" ht="18.75">
      <c r="A124" s="24">
        <v>16</v>
      </c>
      <c r="B124" s="45"/>
      <c r="C124" s="126" t="s">
        <v>551</v>
      </c>
      <c r="D124" s="126"/>
      <c r="E124" s="126"/>
      <c r="F124" s="126"/>
      <c r="G124" s="126"/>
      <c r="H124" s="126"/>
      <c r="I124" s="41" t="s">
        <v>542</v>
      </c>
      <c r="J124" s="1141">
        <v>6700</v>
      </c>
      <c r="K124" s="1347">
        <f>'[1]КВО.'!$G$151</f>
        <v>0</v>
      </c>
      <c r="L124" s="1324">
        <f>SUM(J124:K124)</f>
        <v>6700</v>
      </c>
      <c r="M124" s="1462">
        <f>J124/10000</f>
        <v>0.67</v>
      </c>
      <c r="N124" s="1463">
        <f>K124</f>
        <v>0</v>
      </c>
      <c r="O124" s="1440">
        <f>SUM(M124:N124)</f>
        <v>0.67</v>
      </c>
      <c r="P124" s="22"/>
      <c r="Q124" s="27"/>
      <c r="R124" s="2509"/>
      <c r="S124" s="2509"/>
      <c r="T124" s="2509"/>
      <c r="U124" s="2509"/>
      <c r="V124" s="2509"/>
      <c r="W124" s="2523">
        <f t="shared" si="1"/>
        <v>6720</v>
      </c>
      <c r="X124" s="2538">
        <v>5600</v>
      </c>
      <c r="Y124" s="2509"/>
      <c r="Z124" s="2509"/>
    </row>
    <row r="125" spans="1:26" s="28" customFormat="1" ht="18">
      <c r="A125" s="24">
        <v>17</v>
      </c>
      <c r="B125" s="45"/>
      <c r="C125" s="2197" t="s">
        <v>552</v>
      </c>
      <c r="D125" s="2197"/>
      <c r="E125" s="2197"/>
      <c r="F125" s="2197"/>
      <c r="G125" s="2197"/>
      <c r="H125" s="2197"/>
      <c r="I125" s="41"/>
      <c r="J125" s="1141"/>
      <c r="K125" s="1347"/>
      <c r="L125" s="1327"/>
      <c r="M125" s="1462"/>
      <c r="N125" s="1465"/>
      <c r="O125" s="1441"/>
      <c r="P125" s="22"/>
      <c r="Q125" s="27"/>
      <c r="R125" s="2509"/>
      <c r="S125" s="2509"/>
      <c r="T125" s="2509"/>
      <c r="U125" s="2509"/>
      <c r="V125" s="2509"/>
      <c r="W125" s="2523">
        <f t="shared" si="1"/>
        <v>0</v>
      </c>
      <c r="X125" s="2538"/>
      <c r="Y125" s="2509"/>
      <c r="Z125" s="2509"/>
    </row>
    <row r="126" spans="1:26" s="28" customFormat="1" ht="18.75">
      <c r="A126" s="24"/>
      <c r="B126" s="45"/>
      <c r="C126" s="2197"/>
      <c r="D126" s="2197"/>
      <c r="E126" s="2197"/>
      <c r="F126" s="2197"/>
      <c r="G126" s="2197"/>
      <c r="H126" s="2197"/>
      <c r="I126" s="41" t="s">
        <v>542</v>
      </c>
      <c r="J126" s="1141">
        <v>12000</v>
      </c>
      <c r="K126" s="1386">
        <f>'[1]КВО.'!$G$159</f>
        <v>0.3035</v>
      </c>
      <c r="L126" s="1324">
        <f>SUM(J126:K126)</f>
        <v>12000.3035</v>
      </c>
      <c r="M126" s="1462">
        <f>J126/10000</f>
        <v>1.2</v>
      </c>
      <c r="N126" s="1463">
        <f>K126</f>
        <v>0.3035</v>
      </c>
      <c r="O126" s="1440">
        <f>SUM(M126:N126)</f>
        <v>1.5034999999999998</v>
      </c>
      <c r="P126" s="22"/>
      <c r="Q126" s="27"/>
      <c r="R126" s="2509"/>
      <c r="S126" s="2509"/>
      <c r="T126" s="2509"/>
      <c r="U126" s="2509"/>
      <c r="V126" s="2509"/>
      <c r="W126" s="2523">
        <f t="shared" si="1"/>
        <v>12000</v>
      </c>
      <c r="X126" s="2538">
        <v>10000</v>
      </c>
      <c r="Y126" s="2509"/>
      <c r="Z126" s="2509"/>
    </row>
    <row r="127" spans="1:26" s="28" customFormat="1" ht="18">
      <c r="A127" s="24"/>
      <c r="B127" s="45"/>
      <c r="C127" s="1539" t="s">
        <v>206</v>
      </c>
      <c r="D127" s="126"/>
      <c r="E127" s="126"/>
      <c r="F127" s="126"/>
      <c r="G127" s="126"/>
      <c r="H127" s="126"/>
      <c r="I127" s="41"/>
      <c r="J127" s="1141"/>
      <c r="K127" s="1347"/>
      <c r="L127" s="1327"/>
      <c r="M127" s="1462"/>
      <c r="N127" s="1465"/>
      <c r="O127" s="1441"/>
      <c r="P127" s="22"/>
      <c r="Q127" s="27"/>
      <c r="R127" s="2509"/>
      <c r="S127" s="2509"/>
      <c r="T127" s="2509"/>
      <c r="U127" s="2509"/>
      <c r="V127" s="2509"/>
      <c r="W127" s="2523">
        <f t="shared" si="1"/>
        <v>0</v>
      </c>
      <c r="X127" s="2538"/>
      <c r="Y127" s="2509"/>
      <c r="Z127" s="2509"/>
    </row>
    <row r="128" spans="1:26" s="28" customFormat="1" ht="18">
      <c r="A128" s="24"/>
      <c r="B128" s="45"/>
      <c r="C128" s="1539" t="s">
        <v>553</v>
      </c>
      <c r="D128" s="126"/>
      <c r="E128" s="126"/>
      <c r="F128" s="126"/>
      <c r="G128" s="126"/>
      <c r="H128" s="126"/>
      <c r="I128" s="41"/>
      <c r="J128" s="1141"/>
      <c r="K128" s="1347"/>
      <c r="L128" s="1327"/>
      <c r="M128" s="1462"/>
      <c r="N128" s="1465"/>
      <c r="O128" s="1441"/>
      <c r="P128" s="22"/>
      <c r="Q128" s="27"/>
      <c r="R128" s="2509"/>
      <c r="S128" s="2509"/>
      <c r="T128" s="2509"/>
      <c r="U128" s="2509"/>
      <c r="V128" s="2509"/>
      <c r="W128" s="2523">
        <f t="shared" si="1"/>
        <v>0</v>
      </c>
      <c r="X128" s="2538"/>
      <c r="Y128" s="2509"/>
      <c r="Z128" s="2509"/>
    </row>
    <row r="129" spans="1:26" s="28" customFormat="1" ht="18">
      <c r="A129" s="24">
        <v>18</v>
      </c>
      <c r="B129" s="45"/>
      <c r="C129" s="2197" t="s">
        <v>554</v>
      </c>
      <c r="D129" s="2197"/>
      <c r="E129" s="2197"/>
      <c r="F129" s="2197"/>
      <c r="G129" s="2197"/>
      <c r="H129" s="2197"/>
      <c r="I129" s="41"/>
      <c r="J129" s="1141"/>
      <c r="K129" s="1347"/>
      <c r="L129" s="1327"/>
      <c r="M129" s="1462"/>
      <c r="N129" s="1465"/>
      <c r="O129" s="1441"/>
      <c r="P129" s="22"/>
      <c r="Q129" s="27"/>
      <c r="R129" s="2509"/>
      <c r="S129" s="2509"/>
      <c r="T129" s="2509"/>
      <c r="U129" s="2509"/>
      <c r="V129" s="2509"/>
      <c r="W129" s="2523">
        <f t="shared" si="1"/>
        <v>0</v>
      </c>
      <c r="X129" s="2538"/>
      <c r="Y129" s="2509"/>
      <c r="Z129" s="2509"/>
    </row>
    <row r="130" spans="1:26" s="28" customFormat="1" ht="18.75">
      <c r="A130" s="24"/>
      <c r="B130" s="45"/>
      <c r="C130" s="2197"/>
      <c r="D130" s="2197"/>
      <c r="E130" s="2197"/>
      <c r="F130" s="2197"/>
      <c r="G130" s="2197"/>
      <c r="H130" s="2197"/>
      <c r="I130" s="41" t="s">
        <v>542</v>
      </c>
      <c r="J130" s="1141">
        <v>13200</v>
      </c>
      <c r="K130" s="1386">
        <f>'[1]КВО.'!$G$170</f>
        <v>1.6629</v>
      </c>
      <c r="L130" s="1324">
        <f>SUM(J130:K130)</f>
        <v>13201.6629</v>
      </c>
      <c r="M130" s="1462">
        <f>J130/10000</f>
        <v>1.32</v>
      </c>
      <c r="N130" s="1463">
        <f>K130</f>
        <v>1.6629</v>
      </c>
      <c r="O130" s="1440">
        <f>SUM(M130:N130)</f>
        <v>2.9829</v>
      </c>
      <c r="P130" s="22"/>
      <c r="Q130" s="27"/>
      <c r="R130" s="2514">
        <f>L130-18800</f>
        <v>-5598.337100000001</v>
      </c>
      <c r="S130" s="2509"/>
      <c r="T130" s="2509"/>
      <c r="U130" s="2509"/>
      <c r="V130" s="2509"/>
      <c r="W130" s="2523">
        <f t="shared" si="1"/>
        <v>13200</v>
      </c>
      <c r="X130" s="2538">
        <v>11000</v>
      </c>
      <c r="Y130" s="2509"/>
      <c r="Z130" s="2509"/>
    </row>
    <row r="131" spans="1:26" s="28" customFormat="1" ht="18">
      <c r="A131" s="24">
        <v>19</v>
      </c>
      <c r="B131" s="45"/>
      <c r="C131" s="2197" t="s">
        <v>555</v>
      </c>
      <c r="D131" s="2197"/>
      <c r="E131" s="2197"/>
      <c r="F131" s="2197"/>
      <c r="G131" s="2197"/>
      <c r="H131" s="2197"/>
      <c r="I131" s="41"/>
      <c r="J131" s="1141"/>
      <c r="K131" s="1347"/>
      <c r="L131" s="1327"/>
      <c r="M131" s="1462"/>
      <c r="N131" s="1465"/>
      <c r="O131" s="1441"/>
      <c r="P131" s="22"/>
      <c r="Q131" s="27"/>
      <c r="R131" s="2509"/>
      <c r="S131" s="2509"/>
      <c r="T131" s="2509"/>
      <c r="U131" s="2509"/>
      <c r="V131" s="2509"/>
      <c r="W131" s="2523">
        <f t="shared" si="1"/>
        <v>0</v>
      </c>
      <c r="X131" s="2538"/>
      <c r="Y131" s="2509"/>
      <c r="Z131" s="2509"/>
    </row>
    <row r="132" spans="1:26" s="28" customFormat="1" ht="18.75">
      <c r="A132" s="24"/>
      <c r="B132" s="45"/>
      <c r="C132" s="2197"/>
      <c r="D132" s="2197"/>
      <c r="E132" s="2197"/>
      <c r="F132" s="2197"/>
      <c r="G132" s="2197"/>
      <c r="H132" s="2197"/>
      <c r="I132" s="41" t="s">
        <v>542</v>
      </c>
      <c r="J132" s="1141">
        <v>8400</v>
      </c>
      <c r="K132" s="1386">
        <f>'[1]КВО.'!$G$180</f>
        <v>1.6629</v>
      </c>
      <c r="L132" s="1324">
        <f>SUM(J132:K132)</f>
        <v>8401.6629</v>
      </c>
      <c r="M132" s="1462">
        <f>J132/10000</f>
        <v>0.84</v>
      </c>
      <c r="N132" s="1463">
        <f>K132</f>
        <v>1.6629</v>
      </c>
      <c r="O132" s="1440">
        <f>SUM(M132:N132)</f>
        <v>2.5029</v>
      </c>
      <c r="P132" s="22"/>
      <c r="Q132" s="27"/>
      <c r="R132" s="2514">
        <f>L132-14800</f>
        <v>-6398.337100000001</v>
      </c>
      <c r="S132" s="2509"/>
      <c r="T132" s="2509"/>
      <c r="U132" s="2509"/>
      <c r="V132" s="2509"/>
      <c r="W132" s="2523">
        <f t="shared" si="1"/>
        <v>8400</v>
      </c>
      <c r="X132" s="2538">
        <v>7000</v>
      </c>
      <c r="Y132" s="2509"/>
      <c r="Z132" s="2509"/>
    </row>
    <row r="133" spans="1:26" s="28" customFormat="1" ht="18">
      <c r="A133" s="24">
        <v>20</v>
      </c>
      <c r="B133" s="45"/>
      <c r="C133" s="2197" t="s">
        <v>556</v>
      </c>
      <c r="D133" s="2197"/>
      <c r="E133" s="2197"/>
      <c r="F133" s="2197"/>
      <c r="G133" s="2197"/>
      <c r="H133" s="2197"/>
      <c r="I133" s="41"/>
      <c r="J133" s="1141"/>
      <c r="K133" s="1347"/>
      <c r="L133" s="1327"/>
      <c r="M133" s="1462"/>
      <c r="N133" s="1465"/>
      <c r="O133" s="1441"/>
      <c r="P133" s="22"/>
      <c r="Q133" s="27"/>
      <c r="R133" s="2509"/>
      <c r="S133" s="2509"/>
      <c r="T133" s="2509"/>
      <c r="U133" s="2509"/>
      <c r="V133" s="2509"/>
      <c r="W133" s="2523">
        <f t="shared" si="1"/>
        <v>0</v>
      </c>
      <c r="X133" s="2538"/>
      <c r="Y133" s="2509"/>
      <c r="Z133" s="2509"/>
    </row>
    <row r="134" spans="1:26" s="28" customFormat="1" ht="18.75">
      <c r="A134" s="24"/>
      <c r="B134" s="45"/>
      <c r="C134" s="2197"/>
      <c r="D134" s="2197"/>
      <c r="E134" s="2197"/>
      <c r="F134" s="2197"/>
      <c r="G134" s="2197"/>
      <c r="H134" s="2197"/>
      <c r="I134" s="41" t="s">
        <v>542</v>
      </c>
      <c r="J134" s="1141">
        <v>13200</v>
      </c>
      <c r="K134" s="1386">
        <f>'[1]КВО.'!$G$191</f>
        <v>1.6489000000000003</v>
      </c>
      <c r="L134" s="1324">
        <f>SUM(J134:K134)</f>
        <v>13201.6489</v>
      </c>
      <c r="M134" s="1462">
        <f>J134/10000</f>
        <v>1.32</v>
      </c>
      <c r="N134" s="1463">
        <f>K134</f>
        <v>1.6489000000000003</v>
      </c>
      <c r="O134" s="1440">
        <f>SUM(M134:N134)</f>
        <v>2.9689000000000005</v>
      </c>
      <c r="P134" s="22"/>
      <c r="Q134" s="27"/>
      <c r="R134" s="2509"/>
      <c r="S134" s="2509"/>
      <c r="T134" s="2509"/>
      <c r="U134" s="2509"/>
      <c r="V134" s="2509"/>
      <c r="W134" s="2523">
        <f t="shared" si="1"/>
        <v>13200</v>
      </c>
      <c r="X134" s="2538">
        <v>11000</v>
      </c>
      <c r="Y134" s="2509"/>
      <c r="Z134" s="2509"/>
    </row>
    <row r="135" spans="1:26" s="28" customFormat="1" ht="18">
      <c r="A135" s="24">
        <v>21</v>
      </c>
      <c r="B135" s="45"/>
      <c r="C135" s="2197" t="s">
        <v>557</v>
      </c>
      <c r="D135" s="2197"/>
      <c r="E135" s="2197"/>
      <c r="F135" s="2197"/>
      <c r="G135" s="2197"/>
      <c r="H135" s="2197"/>
      <c r="I135" s="41"/>
      <c r="J135" s="1141"/>
      <c r="K135" s="1347"/>
      <c r="L135" s="1327"/>
      <c r="M135" s="1462"/>
      <c r="N135" s="1465"/>
      <c r="O135" s="1441"/>
      <c r="P135" s="22"/>
      <c r="Q135" s="27"/>
      <c r="R135" s="2509"/>
      <c r="S135" s="2509"/>
      <c r="T135" s="2509"/>
      <c r="U135" s="2509"/>
      <c r="V135" s="2509"/>
      <c r="W135" s="2523">
        <f t="shared" si="1"/>
        <v>0</v>
      </c>
      <c r="X135" s="2538"/>
      <c r="Y135" s="2509"/>
      <c r="Z135" s="2509"/>
    </row>
    <row r="136" spans="1:26" s="28" customFormat="1" ht="18.75">
      <c r="A136" s="24"/>
      <c r="B136" s="45"/>
      <c r="C136" s="2197"/>
      <c r="D136" s="2197"/>
      <c r="E136" s="2197"/>
      <c r="F136" s="2197"/>
      <c r="G136" s="2197"/>
      <c r="H136" s="2197"/>
      <c r="I136" s="41" t="s">
        <v>542</v>
      </c>
      <c r="J136" s="1141">
        <v>10800</v>
      </c>
      <c r="K136" s="1386">
        <f>'[1]КВО.'!$G$202</f>
        <v>1.6848999999999998</v>
      </c>
      <c r="L136" s="1324">
        <f>SUM(J136:K136)</f>
        <v>10801.6849</v>
      </c>
      <c r="M136" s="1462">
        <f>J136/10000</f>
        <v>1.08</v>
      </c>
      <c r="N136" s="1463">
        <f>K136</f>
        <v>1.6848999999999998</v>
      </c>
      <c r="O136" s="1440">
        <f>SUM(M136:N136)</f>
        <v>2.7649</v>
      </c>
      <c r="P136" s="22"/>
      <c r="Q136" s="27"/>
      <c r="R136" s="2509"/>
      <c r="S136" s="2509"/>
      <c r="T136" s="2509"/>
      <c r="U136" s="2509"/>
      <c r="V136" s="2509"/>
      <c r="W136" s="2523">
        <f t="shared" si="1"/>
        <v>10800</v>
      </c>
      <c r="X136" s="2538">
        <v>9000</v>
      </c>
      <c r="Y136" s="2509"/>
      <c r="Z136" s="2509"/>
    </row>
    <row r="137" spans="1:26" s="28" customFormat="1" ht="18">
      <c r="A137" s="24">
        <v>22</v>
      </c>
      <c r="B137" s="45"/>
      <c r="C137" s="2197" t="s">
        <v>558</v>
      </c>
      <c r="D137" s="2197"/>
      <c r="E137" s="2197"/>
      <c r="F137" s="2197"/>
      <c r="G137" s="2197"/>
      <c r="H137" s="2197"/>
      <c r="I137" s="41"/>
      <c r="J137" s="1141"/>
      <c r="K137" s="1347"/>
      <c r="L137" s="1327"/>
      <c r="M137" s="1462"/>
      <c r="N137" s="1465"/>
      <c r="O137" s="1441"/>
      <c r="P137" s="22"/>
      <c r="Q137" s="27"/>
      <c r="R137" s="2509"/>
      <c r="S137" s="2509"/>
      <c r="T137" s="2509"/>
      <c r="U137" s="2509"/>
      <c r="V137" s="2509"/>
      <c r="W137" s="2523">
        <f t="shared" si="1"/>
        <v>0</v>
      </c>
      <c r="X137" s="2538"/>
      <c r="Y137" s="2509"/>
      <c r="Z137" s="2509"/>
    </row>
    <row r="138" spans="1:26" s="28" customFormat="1" ht="18.75">
      <c r="A138" s="24"/>
      <c r="B138" s="45"/>
      <c r="C138" s="2197"/>
      <c r="D138" s="2197"/>
      <c r="E138" s="2197"/>
      <c r="F138" s="2197"/>
      <c r="G138" s="2197"/>
      <c r="H138" s="2197"/>
      <c r="I138" s="41" t="s">
        <v>542</v>
      </c>
      <c r="J138" s="1141">
        <v>9600</v>
      </c>
      <c r="K138" s="1386">
        <f>'[1]КВО.'!$G$213</f>
        <v>1.6848999999999998</v>
      </c>
      <c r="L138" s="1324">
        <f>SUM(J138:K138)</f>
        <v>9601.6849</v>
      </c>
      <c r="M138" s="1462">
        <f>J138/10000</f>
        <v>0.96</v>
      </c>
      <c r="N138" s="1463">
        <f>K138</f>
        <v>1.6848999999999998</v>
      </c>
      <c r="O138" s="1440">
        <f>SUM(M138:N138)</f>
        <v>2.6449</v>
      </c>
      <c r="P138" s="22"/>
      <c r="Q138" s="27"/>
      <c r="R138" s="2509"/>
      <c r="S138" s="2509"/>
      <c r="T138" s="2509"/>
      <c r="U138" s="2509"/>
      <c r="V138" s="2509"/>
      <c r="W138" s="2523">
        <f t="shared" si="1"/>
        <v>9600</v>
      </c>
      <c r="X138" s="2538">
        <v>8000</v>
      </c>
      <c r="Y138" s="2509"/>
      <c r="Z138" s="2509"/>
    </row>
    <row r="139" spans="1:26" s="28" customFormat="1" ht="18">
      <c r="A139" s="24">
        <v>23</v>
      </c>
      <c r="B139" s="45"/>
      <c r="C139" s="2197" t="s">
        <v>559</v>
      </c>
      <c r="D139" s="2197"/>
      <c r="E139" s="2197"/>
      <c r="F139" s="2197"/>
      <c r="G139" s="2197"/>
      <c r="H139" s="2197"/>
      <c r="I139" s="41"/>
      <c r="J139" s="1141"/>
      <c r="K139" s="1347"/>
      <c r="L139" s="1327"/>
      <c r="M139" s="1462"/>
      <c r="N139" s="1465"/>
      <c r="O139" s="1441"/>
      <c r="P139" s="22"/>
      <c r="Q139" s="27"/>
      <c r="R139" s="2509"/>
      <c r="S139" s="2509"/>
      <c r="T139" s="2509"/>
      <c r="U139" s="2509"/>
      <c r="V139" s="2509"/>
      <c r="W139" s="2523">
        <f t="shared" si="1"/>
        <v>0</v>
      </c>
      <c r="X139" s="2538"/>
      <c r="Y139" s="2509"/>
      <c r="Z139" s="2509"/>
    </row>
    <row r="140" spans="1:26" s="28" customFormat="1" ht="18.75">
      <c r="A140" s="24"/>
      <c r="B140" s="45"/>
      <c r="C140" s="2197"/>
      <c r="D140" s="2197"/>
      <c r="E140" s="2197"/>
      <c r="F140" s="2197"/>
      <c r="G140" s="2197"/>
      <c r="H140" s="2197"/>
      <c r="I140" s="41" t="s">
        <v>542</v>
      </c>
      <c r="J140" s="1141">
        <v>8400</v>
      </c>
      <c r="K140" s="1386">
        <f>'[1]КВО.'!$G$224</f>
        <v>1.6848999999999998</v>
      </c>
      <c r="L140" s="1324">
        <f>SUM(J140:K140)</f>
        <v>8401.6849</v>
      </c>
      <c r="M140" s="1462">
        <f>J140/10000</f>
        <v>0.84</v>
      </c>
      <c r="N140" s="1463">
        <f>K140</f>
        <v>1.6848999999999998</v>
      </c>
      <c r="O140" s="1440">
        <f>SUM(M140:N140)</f>
        <v>2.5248999999999997</v>
      </c>
      <c r="P140" s="22"/>
      <c r="Q140" s="27"/>
      <c r="R140" s="2509"/>
      <c r="S140" s="2509"/>
      <c r="T140" s="2509"/>
      <c r="U140" s="2509"/>
      <c r="V140" s="2509"/>
      <c r="W140" s="2523">
        <f t="shared" si="1"/>
        <v>8400</v>
      </c>
      <c r="X140" s="2538">
        <v>7000</v>
      </c>
      <c r="Y140" s="2509"/>
      <c r="Z140" s="2509"/>
    </row>
    <row r="141" spans="1:26" s="28" customFormat="1" ht="18">
      <c r="A141" s="24">
        <v>24</v>
      </c>
      <c r="B141" s="45"/>
      <c r="C141" s="2197" t="s">
        <v>560</v>
      </c>
      <c r="D141" s="2197"/>
      <c r="E141" s="2197"/>
      <c r="F141" s="2197"/>
      <c r="G141" s="2197"/>
      <c r="H141" s="2197"/>
      <c r="I141" s="41"/>
      <c r="J141" s="1141"/>
      <c r="K141" s="1347"/>
      <c r="L141" s="1327"/>
      <c r="M141" s="1462"/>
      <c r="N141" s="1465"/>
      <c r="O141" s="1441"/>
      <c r="P141" s="22"/>
      <c r="Q141" s="27"/>
      <c r="R141" s="2509"/>
      <c r="S141" s="2509"/>
      <c r="T141" s="2509"/>
      <c r="U141" s="2509"/>
      <c r="V141" s="2509"/>
      <c r="W141" s="2523">
        <f t="shared" si="1"/>
        <v>0</v>
      </c>
      <c r="X141" s="2538"/>
      <c r="Y141" s="2509"/>
      <c r="Z141" s="2509"/>
    </row>
    <row r="142" spans="1:26" s="28" customFormat="1" ht="18.75">
      <c r="A142" s="24"/>
      <c r="B142" s="45"/>
      <c r="C142" s="2197"/>
      <c r="D142" s="2197"/>
      <c r="E142" s="2197"/>
      <c r="F142" s="2197"/>
      <c r="G142" s="2197"/>
      <c r="H142" s="2197"/>
      <c r="I142" s="41" t="s">
        <v>542</v>
      </c>
      <c r="J142" s="1141">
        <v>8400</v>
      </c>
      <c r="K142" s="1386">
        <f>'[1]КВО.'!$G$235</f>
        <v>1.6729</v>
      </c>
      <c r="L142" s="1324">
        <f>SUM(J142:K142)</f>
        <v>8401.6729</v>
      </c>
      <c r="M142" s="1462">
        <f>J142/10000</f>
        <v>0.84</v>
      </c>
      <c r="N142" s="1463">
        <f>K142</f>
        <v>1.6729</v>
      </c>
      <c r="O142" s="1440">
        <f>SUM(M142:N142)</f>
        <v>2.5129</v>
      </c>
      <c r="P142" s="22"/>
      <c r="Q142" s="27"/>
      <c r="R142" s="2509"/>
      <c r="S142" s="2509"/>
      <c r="T142" s="2509"/>
      <c r="U142" s="2509"/>
      <c r="V142" s="2509"/>
      <c r="W142" s="2523">
        <f t="shared" si="1"/>
        <v>8400</v>
      </c>
      <c r="X142" s="2538">
        <v>7000</v>
      </c>
      <c r="Y142" s="2509"/>
      <c r="Z142" s="2509"/>
    </row>
    <row r="143" spans="1:26" s="28" customFormat="1" ht="18">
      <c r="A143" s="24">
        <v>25</v>
      </c>
      <c r="B143" s="45"/>
      <c r="C143" s="2197" t="s">
        <v>548</v>
      </c>
      <c r="D143" s="2197"/>
      <c r="E143" s="2197"/>
      <c r="F143" s="2197"/>
      <c r="G143" s="2197"/>
      <c r="H143" s="2197"/>
      <c r="I143" s="41"/>
      <c r="J143" s="1141"/>
      <c r="K143" s="1347"/>
      <c r="L143" s="1327"/>
      <c r="M143" s="1462"/>
      <c r="N143" s="1465"/>
      <c r="O143" s="1441"/>
      <c r="P143" s="22"/>
      <c r="Q143" s="27"/>
      <c r="R143" s="2509"/>
      <c r="S143" s="2509"/>
      <c r="T143" s="2509"/>
      <c r="U143" s="2509"/>
      <c r="V143" s="2509"/>
      <c r="W143" s="2523">
        <f t="shared" si="1"/>
        <v>0</v>
      </c>
      <c r="X143" s="2538"/>
      <c r="Y143" s="2509"/>
      <c r="Z143" s="2509"/>
    </row>
    <row r="144" spans="1:26" s="28" customFormat="1" ht="18.75">
      <c r="A144" s="24"/>
      <c r="B144" s="45"/>
      <c r="C144" s="2197"/>
      <c r="D144" s="2197"/>
      <c r="E144" s="2197"/>
      <c r="F144" s="2197"/>
      <c r="G144" s="2197"/>
      <c r="H144" s="2197"/>
      <c r="I144" s="41" t="s">
        <v>542</v>
      </c>
      <c r="J144" s="1141">
        <v>8400</v>
      </c>
      <c r="K144" s="1386">
        <f>'[1]КВО.'!$G$247</f>
        <v>1.8618999999999999</v>
      </c>
      <c r="L144" s="1324">
        <f>SUM(J144:K144)</f>
        <v>8401.8619</v>
      </c>
      <c r="M144" s="1462">
        <f>J144/10000</f>
        <v>0.84</v>
      </c>
      <c r="N144" s="1463">
        <f>K144</f>
        <v>1.8618999999999999</v>
      </c>
      <c r="O144" s="1440">
        <f>SUM(M144:N144)</f>
        <v>2.7018999999999997</v>
      </c>
      <c r="P144" s="22"/>
      <c r="Q144" s="27"/>
      <c r="R144" s="2514">
        <f>L144-11200</f>
        <v>-2798.1381</v>
      </c>
      <c r="S144" s="2509"/>
      <c r="T144" s="2509"/>
      <c r="U144" s="2509"/>
      <c r="V144" s="2509"/>
      <c r="W144" s="2523">
        <f t="shared" si="1"/>
        <v>8400</v>
      </c>
      <c r="X144" s="2538">
        <v>7000</v>
      </c>
      <c r="Y144" s="2509"/>
      <c r="Z144" s="2509"/>
    </row>
    <row r="145" spans="1:26" s="28" customFormat="1" ht="18">
      <c r="A145" s="24">
        <v>26</v>
      </c>
      <c r="B145" s="45"/>
      <c r="C145" s="2197" t="s">
        <v>549</v>
      </c>
      <c r="D145" s="2197"/>
      <c r="E145" s="2197"/>
      <c r="F145" s="2197"/>
      <c r="G145" s="2197"/>
      <c r="H145" s="2197"/>
      <c r="I145" s="41"/>
      <c r="J145" s="1141"/>
      <c r="K145" s="1347"/>
      <c r="L145" s="1327"/>
      <c r="M145" s="1462"/>
      <c r="N145" s="1465"/>
      <c r="O145" s="1441"/>
      <c r="P145" s="22"/>
      <c r="Q145" s="27"/>
      <c r="R145" s="2509"/>
      <c r="S145" s="2509"/>
      <c r="T145" s="2509"/>
      <c r="U145" s="2509"/>
      <c r="V145" s="2509"/>
      <c r="W145" s="2523">
        <f t="shared" si="1"/>
        <v>0</v>
      </c>
      <c r="X145" s="2538"/>
      <c r="Y145" s="2509"/>
      <c r="Z145" s="2509"/>
    </row>
    <row r="146" spans="1:26" s="28" customFormat="1" ht="18.75">
      <c r="A146" s="24"/>
      <c r="B146" s="45"/>
      <c r="C146" s="2197"/>
      <c r="D146" s="2197"/>
      <c r="E146" s="2197"/>
      <c r="F146" s="2197"/>
      <c r="G146" s="2197"/>
      <c r="H146" s="2197"/>
      <c r="I146" s="41" t="s">
        <v>542</v>
      </c>
      <c r="J146" s="1141">
        <v>41800</v>
      </c>
      <c r="K146" s="1386">
        <f>'[1]КВО.'!$G$258</f>
        <v>1.6888999999999998</v>
      </c>
      <c r="L146" s="1324">
        <f>SUM(J146:K146)</f>
        <v>41801.6889</v>
      </c>
      <c r="M146" s="1462">
        <f>J146/10000</f>
        <v>4.18</v>
      </c>
      <c r="N146" s="1463">
        <f>K146</f>
        <v>1.6888999999999998</v>
      </c>
      <c r="O146" s="1440">
        <f>SUM(M146:N146)</f>
        <v>5.8689</v>
      </c>
      <c r="P146" s="22"/>
      <c r="Q146" s="27"/>
      <c r="R146" s="2509"/>
      <c r="S146" s="2509"/>
      <c r="T146" s="2509"/>
      <c r="U146" s="2509"/>
      <c r="V146" s="2509"/>
      <c r="W146" s="2523">
        <f t="shared" si="1"/>
        <v>41760</v>
      </c>
      <c r="X146" s="2538">
        <v>34800</v>
      </c>
      <c r="Y146" s="2509"/>
      <c r="Z146" s="2509"/>
    </row>
    <row r="147" spans="1:26" s="28" customFormat="1" ht="18">
      <c r="A147" s="24">
        <v>27</v>
      </c>
      <c r="B147" s="45"/>
      <c r="C147" s="2197" t="s">
        <v>561</v>
      </c>
      <c r="D147" s="2197"/>
      <c r="E147" s="2197"/>
      <c r="F147" s="2197"/>
      <c r="G147" s="2197"/>
      <c r="H147" s="2197"/>
      <c r="I147" s="41"/>
      <c r="J147" s="1141"/>
      <c r="K147" s="1347"/>
      <c r="L147" s="1327"/>
      <c r="M147" s="1462"/>
      <c r="N147" s="1465"/>
      <c r="O147" s="1441"/>
      <c r="P147" s="22"/>
      <c r="Q147" s="27"/>
      <c r="R147" s="2509"/>
      <c r="S147" s="2509"/>
      <c r="T147" s="2509"/>
      <c r="U147" s="2509"/>
      <c r="V147" s="2509"/>
      <c r="W147" s="2523">
        <f t="shared" si="1"/>
        <v>0</v>
      </c>
      <c r="X147" s="2538"/>
      <c r="Y147" s="2509"/>
      <c r="Z147" s="2509"/>
    </row>
    <row r="148" spans="1:26" s="28" customFormat="1" ht="18.75">
      <c r="A148" s="24"/>
      <c r="B148" s="45"/>
      <c r="C148" s="2197"/>
      <c r="D148" s="2197"/>
      <c r="E148" s="2197"/>
      <c r="F148" s="2197"/>
      <c r="G148" s="2197"/>
      <c r="H148" s="2197"/>
      <c r="I148" s="41" t="s">
        <v>542</v>
      </c>
      <c r="J148" s="1141">
        <v>8400</v>
      </c>
      <c r="K148" s="1386">
        <f>'[1]КВО.'!$G$268</f>
        <v>1.6929000000000003</v>
      </c>
      <c r="L148" s="1324">
        <f>SUM(J148:K148)</f>
        <v>8401.6929</v>
      </c>
      <c r="M148" s="1462">
        <f>J148/10000</f>
        <v>0.84</v>
      </c>
      <c r="N148" s="1463">
        <f>K148</f>
        <v>1.6929000000000003</v>
      </c>
      <c r="O148" s="1440">
        <f>SUM(M148:N148)</f>
        <v>2.5329</v>
      </c>
      <c r="P148" s="22"/>
      <c r="Q148" s="27"/>
      <c r="R148" s="2509"/>
      <c r="S148" s="2509"/>
      <c r="T148" s="2509"/>
      <c r="U148" s="2509"/>
      <c r="V148" s="2509"/>
      <c r="W148" s="2523">
        <f t="shared" si="1"/>
        <v>8400</v>
      </c>
      <c r="X148" s="2538">
        <v>7000</v>
      </c>
      <c r="Y148" s="2509"/>
      <c r="Z148" s="2509"/>
    </row>
    <row r="149" spans="1:26" s="28" customFormat="1" ht="18.75">
      <c r="A149" s="24"/>
      <c r="B149" s="45"/>
      <c r="C149" s="2197"/>
      <c r="D149" s="2197"/>
      <c r="E149" s="2197"/>
      <c r="F149" s="2197"/>
      <c r="G149" s="2197"/>
      <c r="H149" s="2197"/>
      <c r="I149" s="41"/>
      <c r="J149" s="1141"/>
      <c r="K149" s="1347"/>
      <c r="L149" s="1324"/>
      <c r="M149" s="1462"/>
      <c r="N149" s="1465"/>
      <c r="O149" s="1440"/>
      <c r="P149" s="22"/>
      <c r="Q149" s="27"/>
      <c r="R149" s="2509"/>
      <c r="S149" s="2509"/>
      <c r="T149" s="2509"/>
      <c r="U149" s="2509"/>
      <c r="V149" s="2509"/>
      <c r="W149" s="2523">
        <f t="shared" si="1"/>
        <v>0</v>
      </c>
      <c r="X149" s="2538"/>
      <c r="Y149" s="2509"/>
      <c r="Z149" s="2509"/>
    </row>
    <row r="150" spans="1:26" s="28" customFormat="1" ht="18">
      <c r="A150" s="24">
        <v>28</v>
      </c>
      <c r="B150" s="45"/>
      <c r="C150" s="2197" t="s">
        <v>562</v>
      </c>
      <c r="D150" s="2197"/>
      <c r="E150" s="2197"/>
      <c r="F150" s="2197"/>
      <c r="G150" s="2197"/>
      <c r="H150" s="2197"/>
      <c r="I150" s="41"/>
      <c r="J150" s="1141"/>
      <c r="K150" s="1347"/>
      <c r="L150" s="1327"/>
      <c r="M150" s="1462"/>
      <c r="N150" s="1465"/>
      <c r="O150" s="1441"/>
      <c r="P150" s="22"/>
      <c r="Q150" s="27"/>
      <c r="R150" s="2509"/>
      <c r="S150" s="2509"/>
      <c r="T150" s="2509"/>
      <c r="U150" s="2509"/>
      <c r="V150" s="2509"/>
      <c r="W150" s="2523">
        <f aca="true" t="shared" si="2" ref="W150:W214">X150*1.2</f>
        <v>0</v>
      </c>
      <c r="X150" s="2538"/>
      <c r="Y150" s="2509"/>
      <c r="Z150" s="2509"/>
    </row>
    <row r="151" spans="1:26" s="28" customFormat="1" ht="18.75">
      <c r="A151" s="24"/>
      <c r="B151" s="45"/>
      <c r="C151" s="2197"/>
      <c r="D151" s="2197"/>
      <c r="E151" s="2197"/>
      <c r="F151" s="2197"/>
      <c r="G151" s="2197"/>
      <c r="H151" s="2197"/>
      <c r="I151" s="41" t="s">
        <v>542</v>
      </c>
      <c r="J151" s="1141">
        <v>8400</v>
      </c>
      <c r="K151" s="1386">
        <f>'[1]КВО.'!$G$278</f>
        <v>1.6929000000000003</v>
      </c>
      <c r="L151" s="1324">
        <f>SUM(J151:K151)</f>
        <v>8401.6929</v>
      </c>
      <c r="M151" s="1462">
        <f>J151/10000</f>
        <v>0.84</v>
      </c>
      <c r="N151" s="1463">
        <f>K151</f>
        <v>1.6929000000000003</v>
      </c>
      <c r="O151" s="1440">
        <f>SUM(M151:N151)</f>
        <v>2.5329</v>
      </c>
      <c r="P151" s="22"/>
      <c r="Q151" s="27"/>
      <c r="R151" s="2509"/>
      <c r="S151" s="2509"/>
      <c r="T151" s="2509"/>
      <c r="U151" s="2509"/>
      <c r="V151" s="2509"/>
      <c r="W151" s="2523">
        <f t="shared" si="2"/>
        <v>8400</v>
      </c>
      <c r="X151" s="2538">
        <v>7000</v>
      </c>
      <c r="Y151" s="2509"/>
      <c r="Z151" s="2509"/>
    </row>
    <row r="152" spans="1:26" s="28" customFormat="1" ht="18.75">
      <c r="A152" s="24"/>
      <c r="B152" s="45"/>
      <c r="C152" s="2197"/>
      <c r="D152" s="2197"/>
      <c r="E152" s="2197"/>
      <c r="F152" s="2197"/>
      <c r="G152" s="2197"/>
      <c r="H152" s="2197"/>
      <c r="I152" s="41"/>
      <c r="J152" s="1141"/>
      <c r="K152" s="1347"/>
      <c r="L152" s="1324"/>
      <c r="M152" s="1462"/>
      <c r="N152" s="1465"/>
      <c r="O152" s="1440"/>
      <c r="P152" s="22"/>
      <c r="Q152" s="27"/>
      <c r="R152" s="2509"/>
      <c r="S152" s="2509"/>
      <c r="T152" s="2509"/>
      <c r="U152" s="2509"/>
      <c r="V152" s="2509"/>
      <c r="W152" s="2523">
        <f t="shared" si="2"/>
        <v>0</v>
      </c>
      <c r="X152" s="2538"/>
      <c r="Y152" s="2509"/>
      <c r="Z152" s="2509"/>
    </row>
    <row r="153" spans="1:26" s="28" customFormat="1" ht="18.75">
      <c r="A153" s="24">
        <v>29</v>
      </c>
      <c r="B153" s="45"/>
      <c r="C153" s="126" t="s">
        <v>550</v>
      </c>
      <c r="D153" s="126"/>
      <c r="E153" s="126"/>
      <c r="F153" s="126"/>
      <c r="G153" s="126"/>
      <c r="H153" s="126"/>
      <c r="I153" s="41" t="s">
        <v>542</v>
      </c>
      <c r="J153" s="1141">
        <v>7800</v>
      </c>
      <c r="K153" s="1386">
        <f>'[1]КВО.'!$G$287</f>
        <v>1.6929000000000003</v>
      </c>
      <c r="L153" s="1324">
        <f>SUM(J153:K153)</f>
        <v>7801.6929</v>
      </c>
      <c r="M153" s="1462">
        <f>J153/10000</f>
        <v>0.78</v>
      </c>
      <c r="N153" s="1463">
        <f>K153</f>
        <v>1.6929000000000003</v>
      </c>
      <c r="O153" s="1440">
        <f>SUM(M153:N153)</f>
        <v>2.4729</v>
      </c>
      <c r="P153" s="22"/>
      <c r="Q153" s="27"/>
      <c r="R153" s="2509"/>
      <c r="S153" s="2509"/>
      <c r="T153" s="2509"/>
      <c r="U153" s="2509"/>
      <c r="V153" s="2509"/>
      <c r="W153" s="2523">
        <f t="shared" si="2"/>
        <v>7800</v>
      </c>
      <c r="X153" s="2538">
        <v>6500</v>
      </c>
      <c r="Y153" s="2509"/>
      <c r="Z153" s="2509"/>
    </row>
    <row r="154" spans="1:26" s="28" customFormat="1" ht="18.75">
      <c r="A154" s="24">
        <v>30</v>
      </c>
      <c r="B154" s="45"/>
      <c r="C154" s="126" t="s">
        <v>563</v>
      </c>
      <c r="D154" s="126"/>
      <c r="E154" s="126"/>
      <c r="F154" s="126"/>
      <c r="G154" s="126"/>
      <c r="H154" s="126"/>
      <c r="I154" s="41" t="s">
        <v>542</v>
      </c>
      <c r="J154" s="1141">
        <v>8600</v>
      </c>
      <c r="K154" s="1386">
        <f>'[1]КВО.'!$G$297</f>
        <v>2.37</v>
      </c>
      <c r="L154" s="1324">
        <f>SUM(J154:K154)</f>
        <v>8602.37</v>
      </c>
      <c r="M154" s="1462">
        <f>J154/10000</f>
        <v>0.86</v>
      </c>
      <c r="N154" s="1463">
        <f>K154</f>
        <v>2.37</v>
      </c>
      <c r="O154" s="1440">
        <f>SUM(M154:N154)</f>
        <v>3.23</v>
      </c>
      <c r="P154" s="22"/>
      <c r="Q154" s="27"/>
      <c r="R154" s="2509"/>
      <c r="S154" s="2509"/>
      <c r="T154" s="2509"/>
      <c r="U154" s="2509"/>
      <c r="V154" s="2509"/>
      <c r="W154" s="2523">
        <f t="shared" si="2"/>
        <v>8640</v>
      </c>
      <c r="X154" s="2538">
        <v>7200</v>
      </c>
      <c r="Y154" s="2509"/>
      <c r="Z154" s="2509"/>
    </row>
    <row r="155" spans="1:26" s="28" customFormat="1" ht="18.75">
      <c r="A155" s="24">
        <v>31</v>
      </c>
      <c r="B155" s="45"/>
      <c r="C155" s="126" t="s">
        <v>564</v>
      </c>
      <c r="D155" s="126"/>
      <c r="E155" s="126"/>
      <c r="F155" s="126"/>
      <c r="G155" s="126"/>
      <c r="H155" s="126"/>
      <c r="I155" s="41" t="s">
        <v>542</v>
      </c>
      <c r="J155" s="1141">
        <v>8600</v>
      </c>
      <c r="K155" s="1386">
        <f>'[1]КВО.'!$G$308</f>
        <v>1.7930000000000001</v>
      </c>
      <c r="L155" s="1324">
        <f>SUM(J155:K155)</f>
        <v>8601.793</v>
      </c>
      <c r="M155" s="1462">
        <f>J155/10000</f>
        <v>0.86</v>
      </c>
      <c r="N155" s="1463">
        <f>K155</f>
        <v>1.7930000000000001</v>
      </c>
      <c r="O155" s="1440">
        <f>SUM(M155:N155)</f>
        <v>2.653</v>
      </c>
      <c r="P155" s="22"/>
      <c r="Q155" s="27"/>
      <c r="R155" s="2509"/>
      <c r="S155" s="2509"/>
      <c r="T155" s="2509"/>
      <c r="U155" s="2509"/>
      <c r="V155" s="2509"/>
      <c r="W155" s="2523">
        <f t="shared" si="2"/>
        <v>8640</v>
      </c>
      <c r="X155" s="2538">
        <v>7200</v>
      </c>
      <c r="Y155" s="2509"/>
      <c r="Z155" s="2509"/>
    </row>
    <row r="156" spans="1:26" s="28" customFormat="1" ht="18">
      <c r="A156" s="24">
        <v>32</v>
      </c>
      <c r="B156" s="45"/>
      <c r="C156" s="2197" t="s">
        <v>565</v>
      </c>
      <c r="D156" s="2197"/>
      <c r="E156" s="2197"/>
      <c r="F156" s="2197"/>
      <c r="G156" s="2197"/>
      <c r="H156" s="2197"/>
      <c r="I156" s="41"/>
      <c r="J156" s="1141"/>
      <c r="K156" s="1347"/>
      <c r="L156" s="1327"/>
      <c r="M156" s="1462"/>
      <c r="N156" s="1465"/>
      <c r="O156" s="1441"/>
      <c r="P156" s="22"/>
      <c r="Q156" s="27"/>
      <c r="R156" s="2509"/>
      <c r="S156" s="2509"/>
      <c r="T156" s="2509"/>
      <c r="U156" s="2509"/>
      <c r="V156" s="2509"/>
      <c r="W156" s="2523">
        <f t="shared" si="2"/>
        <v>0</v>
      </c>
      <c r="X156" s="2538"/>
      <c r="Y156" s="2509"/>
      <c r="Z156" s="2509"/>
    </row>
    <row r="157" spans="1:24" ht="18.75">
      <c r="A157" s="11"/>
      <c r="B157" s="43"/>
      <c r="C157" s="2197"/>
      <c r="D157" s="2197"/>
      <c r="E157" s="2197"/>
      <c r="F157" s="2197"/>
      <c r="G157" s="2197"/>
      <c r="H157" s="2197"/>
      <c r="I157" s="41" t="s">
        <v>542</v>
      </c>
      <c r="J157" s="1141">
        <v>12000</v>
      </c>
      <c r="K157" s="1386">
        <f>'[1]КВО.'!$G$317</f>
        <v>1.0975000000000001</v>
      </c>
      <c r="L157" s="1324">
        <f>SUM(J157:K157)</f>
        <v>12001.0975</v>
      </c>
      <c r="M157" s="1462">
        <f>J157/10000</f>
        <v>1.2</v>
      </c>
      <c r="N157" s="1463">
        <f>K157</f>
        <v>1.0975000000000001</v>
      </c>
      <c r="O157" s="1440">
        <f>SUM(M157:N157)</f>
        <v>2.2975000000000003</v>
      </c>
      <c r="P157" s="23"/>
      <c r="R157" s="2514">
        <f>L157-15150</f>
        <v>-3148.9025</v>
      </c>
      <c r="W157" s="2523">
        <f t="shared" si="2"/>
        <v>12000</v>
      </c>
      <c r="X157" s="2538">
        <v>10000</v>
      </c>
    </row>
    <row r="158" spans="1:24" ht="18.75">
      <c r="A158" s="11"/>
      <c r="B158" s="43"/>
      <c r="C158" s="46"/>
      <c r="I158" s="41"/>
      <c r="J158" s="1141"/>
      <c r="K158" s="1347"/>
      <c r="L158" s="1324"/>
      <c r="M158" s="1462"/>
      <c r="N158" s="1465"/>
      <c r="O158" s="1440"/>
      <c r="P158" s="23"/>
      <c r="W158" s="2523">
        <f t="shared" si="2"/>
        <v>0</v>
      </c>
      <c r="X158" s="2538"/>
    </row>
    <row r="159" spans="1:26" s="19" customFormat="1" ht="18.75">
      <c r="A159" s="1011">
        <v>6</v>
      </c>
      <c r="B159" s="91" t="s">
        <v>566</v>
      </c>
      <c r="C159" s="101"/>
      <c r="D159" s="48"/>
      <c r="E159" s="2"/>
      <c r="F159" s="2"/>
      <c r="G159" s="2"/>
      <c r="H159" s="2"/>
      <c r="I159" s="41"/>
      <c r="J159" s="1141"/>
      <c r="K159" s="1347"/>
      <c r="L159" s="1327"/>
      <c r="M159" s="1462"/>
      <c r="N159" s="1465"/>
      <c r="O159" s="1441"/>
      <c r="P159" s="22"/>
      <c r="Q159" s="6"/>
      <c r="R159" s="2509"/>
      <c r="S159" s="2509"/>
      <c r="T159" s="2509"/>
      <c r="U159" s="2509"/>
      <c r="V159" s="2509"/>
      <c r="W159" s="2523">
        <f t="shared" si="2"/>
        <v>0</v>
      </c>
      <c r="X159" s="2538"/>
      <c r="Y159" s="2509"/>
      <c r="Z159" s="2509"/>
    </row>
    <row r="160" spans="1:26" s="19" customFormat="1" ht="18.75">
      <c r="A160" s="11">
        <v>1</v>
      </c>
      <c r="B160" s="47"/>
      <c r="C160" s="632" t="s">
        <v>311</v>
      </c>
      <c r="D160" s="48"/>
      <c r="E160" s="2"/>
      <c r="F160" s="2"/>
      <c r="G160" s="2"/>
      <c r="H160" s="2"/>
      <c r="I160" s="41" t="s">
        <v>542</v>
      </c>
      <c r="J160" s="1141">
        <v>4400</v>
      </c>
      <c r="K160" s="1394">
        <f>'[1]Акуш.'!$G$23</f>
        <v>1.5274999999999999</v>
      </c>
      <c r="L160" s="1324">
        <f aca="true" t="shared" si="3" ref="L160:L166">SUM(J160:K160)</f>
        <v>4401.5275</v>
      </c>
      <c r="M160" s="1462">
        <f aca="true" t="shared" si="4" ref="M160:M166">J160/10000</f>
        <v>0.44</v>
      </c>
      <c r="N160" s="1463">
        <f aca="true" t="shared" si="5" ref="N160:N166">K160</f>
        <v>1.5274999999999999</v>
      </c>
      <c r="O160" s="1440">
        <f aca="true" t="shared" si="6" ref="O160:O166">SUM(M160:N160)</f>
        <v>1.9674999999999998</v>
      </c>
      <c r="P160" s="22"/>
      <c r="Q160" s="6"/>
      <c r="R160" s="2509"/>
      <c r="S160" s="2509"/>
      <c r="T160" s="2509"/>
      <c r="U160" s="2509"/>
      <c r="V160" s="2509"/>
      <c r="W160" s="2523">
        <f t="shared" si="2"/>
        <v>4440</v>
      </c>
      <c r="X160" s="2538">
        <v>3700</v>
      </c>
      <c r="Y160" s="2509"/>
      <c r="Z160" s="2509"/>
    </row>
    <row r="161" spans="1:26" s="51" customFormat="1" ht="18.75">
      <c r="A161" s="11">
        <v>2</v>
      </c>
      <c r="B161" s="49"/>
      <c r="C161" s="126" t="s">
        <v>567</v>
      </c>
      <c r="D161" s="48"/>
      <c r="E161" s="10"/>
      <c r="F161" s="10"/>
      <c r="G161" s="10"/>
      <c r="H161" s="10"/>
      <c r="I161" s="41" t="s">
        <v>568</v>
      </c>
      <c r="J161" s="1141">
        <v>33800</v>
      </c>
      <c r="K161" s="1394">
        <f>'[1]Акуш.'!$G$54</f>
        <v>3.723</v>
      </c>
      <c r="L161" s="1324">
        <f t="shared" si="3"/>
        <v>33803.723</v>
      </c>
      <c r="M161" s="1462">
        <f t="shared" si="4"/>
        <v>3.38</v>
      </c>
      <c r="N161" s="1463">
        <f t="shared" si="5"/>
        <v>3.723</v>
      </c>
      <c r="O161" s="1440">
        <f t="shared" si="6"/>
        <v>7.103</v>
      </c>
      <c r="P161" s="22"/>
      <c r="Q161" s="50"/>
      <c r="R161" s="2515">
        <f>L161-46450</f>
        <v>-12646.277000000002</v>
      </c>
      <c r="S161" s="2516"/>
      <c r="T161" s="2516"/>
      <c r="U161" s="2516"/>
      <c r="V161" s="2516"/>
      <c r="W161" s="2523">
        <f t="shared" si="2"/>
        <v>33840</v>
      </c>
      <c r="X161" s="2538">
        <v>28200</v>
      </c>
      <c r="Y161" s="2516"/>
      <c r="Z161" s="2516"/>
    </row>
    <row r="162" spans="1:26" s="51" customFormat="1" ht="18.75">
      <c r="A162" s="11">
        <v>3</v>
      </c>
      <c r="B162" s="49"/>
      <c r="C162" s="1532" t="s">
        <v>569</v>
      </c>
      <c r="D162" s="48"/>
      <c r="E162" s="10"/>
      <c r="F162" s="10"/>
      <c r="G162" s="10"/>
      <c r="H162" s="10"/>
      <c r="I162" s="41" t="s">
        <v>568</v>
      </c>
      <c r="J162" s="1141">
        <v>33800</v>
      </c>
      <c r="K162" s="1394">
        <f>'[1]Акуш.'!$G$60</f>
        <v>2.105</v>
      </c>
      <c r="L162" s="1324">
        <f t="shared" si="3"/>
        <v>33802.105</v>
      </c>
      <c r="M162" s="1462">
        <f t="shared" si="4"/>
        <v>3.38</v>
      </c>
      <c r="N162" s="1463">
        <f t="shared" si="5"/>
        <v>2.105</v>
      </c>
      <c r="O162" s="1440">
        <f t="shared" si="6"/>
        <v>5.484999999999999</v>
      </c>
      <c r="P162" s="22"/>
      <c r="Q162" s="50"/>
      <c r="R162" s="2515">
        <f>L162-38250</f>
        <v>-4447.894999999997</v>
      </c>
      <c r="S162" s="2516"/>
      <c r="T162" s="2516"/>
      <c r="U162" s="2516"/>
      <c r="V162" s="2516"/>
      <c r="W162" s="2523">
        <f t="shared" si="2"/>
        <v>33840</v>
      </c>
      <c r="X162" s="2538">
        <v>28200</v>
      </c>
      <c r="Y162" s="2516"/>
      <c r="Z162" s="2516"/>
    </row>
    <row r="163" spans="1:26" s="51" customFormat="1" ht="18.75">
      <c r="A163" s="11">
        <v>4</v>
      </c>
      <c r="B163" s="49"/>
      <c r="C163" s="1532" t="s">
        <v>570</v>
      </c>
      <c r="D163" s="48"/>
      <c r="E163" s="10"/>
      <c r="F163" s="10"/>
      <c r="G163" s="10"/>
      <c r="H163" s="10"/>
      <c r="I163" s="41" t="s">
        <v>568</v>
      </c>
      <c r="J163" s="1141">
        <v>45100</v>
      </c>
      <c r="K163" s="1394">
        <f>'[1]Акуш.'!$G$74</f>
        <v>9.732</v>
      </c>
      <c r="L163" s="1324">
        <f t="shared" si="3"/>
        <v>45109.732</v>
      </c>
      <c r="M163" s="1462">
        <f t="shared" si="4"/>
        <v>4.51</v>
      </c>
      <c r="N163" s="1463">
        <f t="shared" si="5"/>
        <v>9.732</v>
      </c>
      <c r="O163" s="1440">
        <f t="shared" si="6"/>
        <v>14.241999999999999</v>
      </c>
      <c r="P163" s="22"/>
      <c r="Q163" s="50"/>
      <c r="R163" s="2516"/>
      <c r="S163" s="2516"/>
      <c r="T163" s="2516"/>
      <c r="U163" s="2516"/>
      <c r="V163" s="2516"/>
      <c r="W163" s="2523">
        <f t="shared" si="2"/>
        <v>45120</v>
      </c>
      <c r="X163" s="2538">
        <v>37600</v>
      </c>
      <c r="Y163" s="2516"/>
      <c r="Z163" s="2516"/>
    </row>
    <row r="164" spans="1:26" s="51" customFormat="1" ht="18.75">
      <c r="A164" s="11">
        <v>5</v>
      </c>
      <c r="B164" s="49"/>
      <c r="C164" s="1532" t="s">
        <v>571</v>
      </c>
      <c r="D164" s="48"/>
      <c r="E164" s="10"/>
      <c r="F164" s="10"/>
      <c r="G164" s="10"/>
      <c r="H164" s="10"/>
      <c r="I164" s="41" t="s">
        <v>568</v>
      </c>
      <c r="J164" s="1141">
        <v>124200</v>
      </c>
      <c r="K164" s="1394">
        <f>'[1]Акуш.'!$G$90</f>
        <v>15.988</v>
      </c>
      <c r="L164" s="1324">
        <f t="shared" si="3"/>
        <v>124215.988</v>
      </c>
      <c r="M164" s="1462">
        <f t="shared" si="4"/>
        <v>12.42</v>
      </c>
      <c r="N164" s="1463">
        <f t="shared" si="5"/>
        <v>15.988</v>
      </c>
      <c r="O164" s="1440">
        <f t="shared" si="6"/>
        <v>28.408</v>
      </c>
      <c r="P164" s="22"/>
      <c r="Q164" s="50"/>
      <c r="R164" s="2515">
        <f>L164-188900</f>
        <v>-64684.012</v>
      </c>
      <c r="S164" s="2516"/>
      <c r="T164" s="2516"/>
      <c r="U164" s="2516"/>
      <c r="V164" s="2516"/>
      <c r="W164" s="2523">
        <f t="shared" si="2"/>
        <v>124200</v>
      </c>
      <c r="X164" s="2538">
        <v>103500</v>
      </c>
      <c r="Y164" s="2516"/>
      <c r="Z164" s="2516"/>
    </row>
    <row r="165" spans="1:26" s="51" customFormat="1" ht="18.75">
      <c r="A165" s="11">
        <v>6</v>
      </c>
      <c r="B165" s="49"/>
      <c r="C165" s="1532" t="s">
        <v>572</v>
      </c>
      <c r="D165" s="48"/>
      <c r="E165" s="10"/>
      <c r="F165" s="10"/>
      <c r="G165" s="10"/>
      <c r="H165" s="10"/>
      <c r="I165" s="41" t="s">
        <v>573</v>
      </c>
      <c r="J165" s="1141">
        <v>19200</v>
      </c>
      <c r="K165" s="1394">
        <f>'[1]Акуш.'!$G$29</f>
        <v>2.5175</v>
      </c>
      <c r="L165" s="1324">
        <f t="shared" si="3"/>
        <v>19202.5175</v>
      </c>
      <c r="M165" s="1462">
        <f t="shared" si="4"/>
        <v>1.92</v>
      </c>
      <c r="N165" s="1463">
        <f t="shared" si="5"/>
        <v>2.5175</v>
      </c>
      <c r="O165" s="1440">
        <f t="shared" si="6"/>
        <v>4.4375</v>
      </c>
      <c r="P165" s="22"/>
      <c r="Q165" s="50"/>
      <c r="R165" s="2514">
        <f>J165*1.15</f>
        <v>22080</v>
      </c>
      <c r="S165" s="2516"/>
      <c r="T165" s="2516"/>
      <c r="U165" s="2516"/>
      <c r="V165" s="2516"/>
      <c r="W165" s="2523">
        <f t="shared" si="2"/>
        <v>19200</v>
      </c>
      <c r="X165" s="2538">
        <v>16000</v>
      </c>
      <c r="Y165" s="2516"/>
      <c r="Z165" s="2516"/>
    </row>
    <row r="166" spans="1:26" s="51" customFormat="1" ht="18.75">
      <c r="A166" s="11">
        <v>7</v>
      </c>
      <c r="B166" s="49"/>
      <c r="C166" s="1532" t="s">
        <v>574</v>
      </c>
      <c r="D166" s="48"/>
      <c r="E166" s="10"/>
      <c r="F166" s="10"/>
      <c r="G166" s="10"/>
      <c r="H166" s="10"/>
      <c r="I166" s="41" t="s">
        <v>573</v>
      </c>
      <c r="J166" s="1141">
        <v>28700</v>
      </c>
      <c r="K166" s="1394">
        <f>'[1]Акуш.'!$G$45</f>
        <v>8.389</v>
      </c>
      <c r="L166" s="1324">
        <f t="shared" si="3"/>
        <v>28708.389</v>
      </c>
      <c r="M166" s="1462">
        <f t="shared" si="4"/>
        <v>2.87</v>
      </c>
      <c r="N166" s="1463">
        <f t="shared" si="5"/>
        <v>8.389</v>
      </c>
      <c r="O166" s="1440">
        <f t="shared" si="6"/>
        <v>11.259</v>
      </c>
      <c r="P166" s="22"/>
      <c r="Q166" s="50"/>
      <c r="R166" s="2514">
        <f>J166*1.15</f>
        <v>33005</v>
      </c>
      <c r="S166" s="2516"/>
      <c r="T166" s="2516"/>
      <c r="U166" s="2516"/>
      <c r="V166" s="2516"/>
      <c r="W166" s="2523">
        <f t="shared" si="2"/>
        <v>28680</v>
      </c>
      <c r="X166" s="2538">
        <v>23900</v>
      </c>
      <c r="Y166" s="2516"/>
      <c r="Z166" s="2516"/>
    </row>
    <row r="167" spans="1:26" s="51" customFormat="1" ht="18.75">
      <c r="A167" s="11"/>
      <c r="B167" s="49"/>
      <c r="C167" s="1532"/>
      <c r="D167" s="48"/>
      <c r="E167" s="10"/>
      <c r="F167" s="10"/>
      <c r="G167" s="10"/>
      <c r="H167" s="10"/>
      <c r="I167" s="41"/>
      <c r="J167" s="1141"/>
      <c r="K167" s="1394"/>
      <c r="L167" s="1324"/>
      <c r="M167" s="1462"/>
      <c r="N167" s="1463"/>
      <c r="O167" s="1440"/>
      <c r="P167" s="22"/>
      <c r="Q167" s="50"/>
      <c r="R167" s="2514"/>
      <c r="S167" s="2516"/>
      <c r="T167" s="2516"/>
      <c r="U167" s="2516"/>
      <c r="V167" s="2516"/>
      <c r="W167" s="2523"/>
      <c r="X167" s="2538"/>
      <c r="Y167" s="2516"/>
      <c r="Z167" s="2516"/>
    </row>
    <row r="168" spans="1:26" s="9" customFormat="1" ht="18">
      <c r="A168" s="42"/>
      <c r="B168" s="49"/>
      <c r="C168" s="52"/>
      <c r="D168" s="48"/>
      <c r="E168" s="10"/>
      <c r="F168" s="10"/>
      <c r="G168" s="10"/>
      <c r="H168" s="10"/>
      <c r="I168" s="41"/>
      <c r="J168" s="1141"/>
      <c r="K168" s="1347"/>
      <c r="L168" s="1326"/>
      <c r="M168" s="1462"/>
      <c r="N168" s="1465"/>
      <c r="O168" s="1442"/>
      <c r="P168" s="23"/>
      <c r="Q168" s="53"/>
      <c r="R168" s="2516"/>
      <c r="S168" s="2516"/>
      <c r="T168" s="2516"/>
      <c r="U168" s="2516"/>
      <c r="V168" s="2516"/>
      <c r="W168" s="2523">
        <f t="shared" si="2"/>
        <v>0</v>
      </c>
      <c r="X168" s="2538"/>
      <c r="Y168" s="2516"/>
      <c r="Z168" s="2516"/>
    </row>
    <row r="169" spans="1:26" s="28" customFormat="1" ht="18.75">
      <c r="A169" s="1011" t="s">
        <v>575</v>
      </c>
      <c r="B169" s="91" t="s">
        <v>382</v>
      </c>
      <c r="C169" s="101"/>
      <c r="D169" s="35"/>
      <c r="E169" s="36"/>
      <c r="F169" s="36"/>
      <c r="G169" s="36"/>
      <c r="H169" s="36"/>
      <c r="I169" s="41"/>
      <c r="J169" s="1141"/>
      <c r="K169" s="1347"/>
      <c r="L169" s="1327"/>
      <c r="M169" s="1462"/>
      <c r="N169" s="1465"/>
      <c r="O169" s="1441"/>
      <c r="P169" s="22"/>
      <c r="Q169" s="27"/>
      <c r="R169" s="2509"/>
      <c r="S169" s="2509"/>
      <c r="T169" s="2509"/>
      <c r="U169" s="2509"/>
      <c r="V169" s="2509"/>
      <c r="W169" s="2523">
        <f t="shared" si="2"/>
        <v>0</v>
      </c>
      <c r="X169" s="2538"/>
      <c r="Y169" s="2509"/>
      <c r="Z169" s="2509"/>
    </row>
    <row r="170" spans="1:26" s="57" customFormat="1" ht="18">
      <c r="A170" s="24"/>
      <c r="B170" s="54"/>
      <c r="C170" s="635" t="s">
        <v>576</v>
      </c>
      <c r="D170" s="35"/>
      <c r="E170" s="46"/>
      <c r="F170" s="46"/>
      <c r="G170" s="46"/>
      <c r="H170" s="46"/>
      <c r="I170" s="41"/>
      <c r="J170" s="1141"/>
      <c r="K170" s="1347"/>
      <c r="L170" s="1327"/>
      <c r="M170" s="1462"/>
      <c r="N170" s="1465"/>
      <c r="O170" s="1441"/>
      <c r="P170" s="22"/>
      <c r="Q170" s="56"/>
      <c r="R170" s="2516"/>
      <c r="S170" s="2516"/>
      <c r="T170" s="2516"/>
      <c r="U170" s="2516"/>
      <c r="V170" s="2516"/>
      <c r="W170" s="2523">
        <f t="shared" si="2"/>
        <v>0</v>
      </c>
      <c r="X170" s="2538"/>
      <c r="Y170" s="2516"/>
      <c r="Z170" s="2516"/>
    </row>
    <row r="171" spans="1:26" s="57" customFormat="1" ht="18">
      <c r="A171" s="32"/>
      <c r="B171" s="54"/>
      <c r="C171" s="635" t="s">
        <v>577</v>
      </c>
      <c r="D171" s="35"/>
      <c r="E171" s="46"/>
      <c r="F171" s="46"/>
      <c r="G171" s="46"/>
      <c r="H171" s="46"/>
      <c r="I171" s="41"/>
      <c r="J171" s="1141"/>
      <c r="K171" s="1347"/>
      <c r="L171" s="1327"/>
      <c r="M171" s="1462"/>
      <c r="N171" s="1465"/>
      <c r="O171" s="1441"/>
      <c r="P171" s="22"/>
      <c r="Q171" s="56"/>
      <c r="R171" s="2516"/>
      <c r="S171" s="2516"/>
      <c r="T171" s="2516"/>
      <c r="U171" s="2516"/>
      <c r="V171" s="2516"/>
      <c r="W171" s="2523">
        <f t="shared" si="2"/>
        <v>0</v>
      </c>
      <c r="X171" s="2538"/>
      <c r="Y171" s="2516"/>
      <c r="Z171" s="2516"/>
    </row>
    <row r="172" spans="1:26" s="57" customFormat="1" ht="18">
      <c r="A172" s="32"/>
      <c r="B172" s="54"/>
      <c r="C172" s="1539" t="s">
        <v>578</v>
      </c>
      <c r="D172" s="17"/>
      <c r="E172" s="17"/>
      <c r="F172" s="46"/>
      <c r="G172" s="46"/>
      <c r="H172" s="46"/>
      <c r="I172" s="41"/>
      <c r="J172" s="1141"/>
      <c r="K172" s="1347"/>
      <c r="L172" s="1327"/>
      <c r="M172" s="1462"/>
      <c r="N172" s="1465"/>
      <c r="O172" s="1441"/>
      <c r="P172" s="22"/>
      <c r="Q172" s="56"/>
      <c r="R172" s="2516"/>
      <c r="S172" s="2516"/>
      <c r="T172" s="2516"/>
      <c r="U172" s="2516"/>
      <c r="V172" s="2516"/>
      <c r="W172" s="2523">
        <f t="shared" si="2"/>
        <v>0</v>
      </c>
      <c r="X172" s="2538"/>
      <c r="Y172" s="2516"/>
      <c r="Z172" s="2516"/>
    </row>
    <row r="173" spans="1:26" s="57" customFormat="1" ht="18.75">
      <c r="A173" s="32"/>
      <c r="B173" s="54"/>
      <c r="C173" s="1540" t="s">
        <v>579</v>
      </c>
      <c r="D173" s="17"/>
      <c r="E173" s="17"/>
      <c r="F173" s="46"/>
      <c r="G173" s="46"/>
      <c r="H173" s="46"/>
      <c r="I173" s="41" t="s">
        <v>580</v>
      </c>
      <c r="J173" s="1141">
        <v>11500</v>
      </c>
      <c r="K173" s="1395">
        <f>'[1]Профы.'!$G$10</f>
        <v>0.0155</v>
      </c>
      <c r="L173" s="1324">
        <f>SUM(J173:K173)</f>
        <v>11500.0155</v>
      </c>
      <c r="M173" s="1462">
        <f aca="true" t="shared" si="7" ref="M173:M188">J173/10000</f>
        <v>1.15</v>
      </c>
      <c r="N173" s="1463">
        <f aca="true" t="shared" si="8" ref="N173:N188">K173</f>
        <v>0.0155</v>
      </c>
      <c r="O173" s="1440">
        <f aca="true" t="shared" si="9" ref="O173:O188">SUM(M173:N173)</f>
        <v>1.1655</v>
      </c>
      <c r="P173" s="22"/>
      <c r="Q173" s="56"/>
      <c r="R173" s="2514">
        <f aca="true" t="shared" si="10" ref="R173:R184">J173*1.15</f>
        <v>13224.999999999998</v>
      </c>
      <c r="S173" s="2516"/>
      <c r="T173" s="2516"/>
      <c r="U173" s="2516"/>
      <c r="V173" s="2516"/>
      <c r="W173" s="2523">
        <f t="shared" si="2"/>
        <v>11520</v>
      </c>
      <c r="X173" s="2538">
        <v>9600</v>
      </c>
      <c r="Y173" s="2516"/>
      <c r="Z173" s="2516"/>
    </row>
    <row r="174" spans="1:26" s="57" customFormat="1" ht="18.75">
      <c r="A174" s="32"/>
      <c r="B174" s="54"/>
      <c r="C174" s="1540" t="s">
        <v>581</v>
      </c>
      <c r="D174" s="17"/>
      <c r="E174" s="17"/>
      <c r="F174" s="46"/>
      <c r="G174" s="46"/>
      <c r="H174" s="46"/>
      <c r="I174" s="41" t="s">
        <v>580</v>
      </c>
      <c r="J174" s="1141">
        <v>10900</v>
      </c>
      <c r="K174" s="1388">
        <f>'[1]Профы.'!$G$14</f>
        <v>0.00125</v>
      </c>
      <c r="L174" s="1324">
        <f aca="true" t="shared" si="11" ref="L174:L194">SUM(J174:K174)</f>
        <v>10900.00125</v>
      </c>
      <c r="M174" s="1462">
        <f t="shared" si="7"/>
        <v>1.09</v>
      </c>
      <c r="N174" s="1463">
        <f t="shared" si="8"/>
        <v>0.00125</v>
      </c>
      <c r="O174" s="1440">
        <f t="shared" si="9"/>
        <v>1.09125</v>
      </c>
      <c r="P174" s="22"/>
      <c r="Q174" s="56"/>
      <c r="R174" s="2514">
        <f t="shared" si="10"/>
        <v>12534.999999999998</v>
      </c>
      <c r="S174" s="2516"/>
      <c r="T174" s="2516"/>
      <c r="U174" s="2516"/>
      <c r="V174" s="2516"/>
      <c r="W174" s="2523">
        <f t="shared" si="2"/>
        <v>10920</v>
      </c>
      <c r="X174" s="2538">
        <v>9100</v>
      </c>
      <c r="Y174" s="2516"/>
      <c r="Z174" s="2516"/>
    </row>
    <row r="175" spans="1:26" s="57" customFormat="1" ht="18.75">
      <c r="A175" s="32"/>
      <c r="B175" s="54"/>
      <c r="C175" s="1540" t="s">
        <v>582</v>
      </c>
      <c r="D175" s="17"/>
      <c r="E175" s="17"/>
      <c r="F175" s="46"/>
      <c r="G175" s="46"/>
      <c r="H175" s="46"/>
      <c r="I175" s="41" t="s">
        <v>580</v>
      </c>
      <c r="J175" s="1141">
        <v>11800</v>
      </c>
      <c r="K175" s="1388">
        <f>'[1]Профы.'!$G$18</f>
        <v>0.0023</v>
      </c>
      <c r="L175" s="1324">
        <f>SUM(J175:K175)</f>
        <v>11800.0023</v>
      </c>
      <c r="M175" s="1462">
        <f t="shared" si="7"/>
        <v>1.18</v>
      </c>
      <c r="N175" s="1463">
        <f t="shared" si="8"/>
        <v>0.0023</v>
      </c>
      <c r="O175" s="1440">
        <f t="shared" si="9"/>
        <v>1.1823</v>
      </c>
      <c r="P175" s="22"/>
      <c r="Q175" s="56"/>
      <c r="R175" s="2514">
        <f t="shared" si="10"/>
        <v>13569.999999999998</v>
      </c>
      <c r="S175" s="2516"/>
      <c r="T175" s="2516"/>
      <c r="U175" s="2516"/>
      <c r="V175" s="2516"/>
      <c r="W175" s="2523">
        <f t="shared" si="2"/>
        <v>11760</v>
      </c>
      <c r="X175" s="2538">
        <v>9800</v>
      </c>
      <c r="Y175" s="2516"/>
      <c r="Z175" s="2516"/>
    </row>
    <row r="176" spans="1:26" s="57" customFormat="1" ht="18.75">
      <c r="A176" s="32"/>
      <c r="B176" s="54"/>
      <c r="C176" s="1540" t="s">
        <v>583</v>
      </c>
      <c r="D176" s="17"/>
      <c r="E176" s="17"/>
      <c r="F176" s="46"/>
      <c r="G176" s="46"/>
      <c r="H176" s="46"/>
      <c r="I176" s="41" t="s">
        <v>580</v>
      </c>
      <c r="J176" s="1141">
        <v>10600</v>
      </c>
      <c r="K176" s="1395">
        <f>'[1]Профы.'!$G$23</f>
        <v>0.018317</v>
      </c>
      <c r="L176" s="1324">
        <f t="shared" si="11"/>
        <v>10600.018317</v>
      </c>
      <c r="M176" s="1462">
        <f t="shared" si="7"/>
        <v>1.06</v>
      </c>
      <c r="N176" s="1463">
        <f t="shared" si="8"/>
        <v>0.018317</v>
      </c>
      <c r="O176" s="1440">
        <f t="shared" si="9"/>
        <v>1.078317</v>
      </c>
      <c r="P176" s="22"/>
      <c r="Q176" s="56"/>
      <c r="R176" s="2514">
        <f t="shared" si="10"/>
        <v>12189.999999999998</v>
      </c>
      <c r="S176" s="2516"/>
      <c r="T176" s="2516"/>
      <c r="U176" s="2516"/>
      <c r="V176" s="2516"/>
      <c r="W176" s="2523">
        <f t="shared" si="2"/>
        <v>10560</v>
      </c>
      <c r="X176" s="2538">
        <v>8800</v>
      </c>
      <c r="Y176" s="2516"/>
      <c r="Z176" s="2516"/>
    </row>
    <row r="177" spans="1:26" s="57" customFormat="1" ht="18.75">
      <c r="A177" s="32"/>
      <c r="B177" s="54"/>
      <c r="C177" s="1540" t="s">
        <v>584</v>
      </c>
      <c r="D177" s="17"/>
      <c r="E177" s="17"/>
      <c r="F177" s="46"/>
      <c r="G177" s="46"/>
      <c r="H177" s="46"/>
      <c r="I177" s="41" t="s">
        <v>580</v>
      </c>
      <c r="J177" s="1141">
        <v>10700</v>
      </c>
      <c r="K177" s="1388">
        <f>'[1]Профы.'!$G$27</f>
        <v>0.00125</v>
      </c>
      <c r="L177" s="1324">
        <f t="shared" si="11"/>
        <v>10700.00125</v>
      </c>
      <c r="M177" s="1462">
        <f t="shared" si="7"/>
        <v>1.07</v>
      </c>
      <c r="N177" s="1463">
        <f t="shared" si="8"/>
        <v>0.00125</v>
      </c>
      <c r="O177" s="1440">
        <f t="shared" si="9"/>
        <v>1.07125</v>
      </c>
      <c r="P177" s="22"/>
      <c r="Q177" s="56"/>
      <c r="R177" s="2514">
        <f t="shared" si="10"/>
        <v>12304.999999999998</v>
      </c>
      <c r="S177" s="2516"/>
      <c r="T177" s="2516"/>
      <c r="U177" s="2516"/>
      <c r="V177" s="2516"/>
      <c r="W177" s="2523">
        <f t="shared" si="2"/>
        <v>10680</v>
      </c>
      <c r="X177" s="2538">
        <v>8900</v>
      </c>
      <c r="Y177" s="2516"/>
      <c r="Z177" s="2516"/>
    </row>
    <row r="178" spans="1:26" s="57" customFormat="1" ht="18.75">
      <c r="A178" s="32"/>
      <c r="B178" s="54"/>
      <c r="C178" s="1540" t="s">
        <v>585</v>
      </c>
      <c r="D178" s="17"/>
      <c r="E178" s="17"/>
      <c r="F178" s="46"/>
      <c r="G178" s="46"/>
      <c r="H178" s="46"/>
      <c r="I178" s="41" t="s">
        <v>580</v>
      </c>
      <c r="J178" s="1141">
        <v>18800</v>
      </c>
      <c r="K178" s="1395">
        <f>'[1]Профы.'!$G$37</f>
        <v>1.7222</v>
      </c>
      <c r="L178" s="1324">
        <f t="shared" si="11"/>
        <v>18801.7222</v>
      </c>
      <c r="M178" s="1462">
        <f t="shared" si="7"/>
        <v>1.88</v>
      </c>
      <c r="N178" s="1463">
        <f t="shared" si="8"/>
        <v>1.7222</v>
      </c>
      <c r="O178" s="1440">
        <f t="shared" si="9"/>
        <v>3.6022</v>
      </c>
      <c r="P178" s="22"/>
      <c r="Q178" s="56"/>
      <c r="R178" s="2514">
        <f t="shared" si="10"/>
        <v>21620</v>
      </c>
      <c r="S178" s="2516"/>
      <c r="T178" s="2516"/>
      <c r="U178" s="2516"/>
      <c r="V178" s="2516"/>
      <c r="W178" s="2523">
        <f t="shared" si="2"/>
        <v>18840</v>
      </c>
      <c r="X178" s="2538">
        <v>15700</v>
      </c>
      <c r="Y178" s="2516"/>
      <c r="Z178" s="2516"/>
    </row>
    <row r="179" spans="1:26" s="57" customFormat="1" ht="18.75">
      <c r="A179" s="32"/>
      <c r="B179" s="54"/>
      <c r="C179" s="1540" t="s">
        <v>586</v>
      </c>
      <c r="D179" s="17"/>
      <c r="E179" s="17"/>
      <c r="F179" s="46"/>
      <c r="G179" s="46"/>
      <c r="H179" s="46"/>
      <c r="I179" s="41" t="s">
        <v>580</v>
      </c>
      <c r="J179" s="1141">
        <v>13100</v>
      </c>
      <c r="K179" s="1388">
        <f>'[1]Профы.'!$G$42</f>
        <v>0.00295</v>
      </c>
      <c r="L179" s="1324">
        <f t="shared" si="11"/>
        <v>13100.00295</v>
      </c>
      <c r="M179" s="1462">
        <f t="shared" si="7"/>
        <v>1.31</v>
      </c>
      <c r="N179" s="1463">
        <f t="shared" si="8"/>
        <v>0.00295</v>
      </c>
      <c r="O179" s="1440">
        <f t="shared" si="9"/>
        <v>1.31295</v>
      </c>
      <c r="P179" s="22"/>
      <c r="Q179" s="56"/>
      <c r="R179" s="2514">
        <f t="shared" si="10"/>
        <v>15064.999999999998</v>
      </c>
      <c r="S179" s="2516"/>
      <c r="T179" s="2516"/>
      <c r="U179" s="2516"/>
      <c r="V179" s="2516"/>
      <c r="W179" s="2523">
        <f t="shared" si="2"/>
        <v>13080</v>
      </c>
      <c r="X179" s="2538">
        <v>10900</v>
      </c>
      <c r="Y179" s="2516"/>
      <c r="Z179" s="2516"/>
    </row>
    <row r="180" spans="1:26" s="57" customFormat="1" ht="18.75">
      <c r="A180" s="32"/>
      <c r="B180" s="54"/>
      <c r="C180" s="1540" t="s">
        <v>587</v>
      </c>
      <c r="D180" s="17"/>
      <c r="E180" s="17"/>
      <c r="F180" s="46"/>
      <c r="G180" s="46"/>
      <c r="H180" s="46"/>
      <c r="I180" s="41" t="s">
        <v>580</v>
      </c>
      <c r="J180" s="1141">
        <v>13900</v>
      </c>
      <c r="K180" s="1388">
        <f>'[1]Профы.'!$G$46</f>
        <v>0.002</v>
      </c>
      <c r="L180" s="1324">
        <f>SUM(J180:K180)</f>
        <v>13900.002</v>
      </c>
      <c r="M180" s="1462">
        <f t="shared" si="7"/>
        <v>1.39</v>
      </c>
      <c r="N180" s="1463">
        <f t="shared" si="8"/>
        <v>0.002</v>
      </c>
      <c r="O180" s="1440">
        <f t="shared" si="9"/>
        <v>1.392</v>
      </c>
      <c r="P180" s="22"/>
      <c r="Q180" s="56"/>
      <c r="R180" s="2514">
        <f t="shared" si="10"/>
        <v>15984.999999999998</v>
      </c>
      <c r="S180" s="2516"/>
      <c r="T180" s="2516"/>
      <c r="U180" s="2516"/>
      <c r="V180" s="2516"/>
      <c r="W180" s="2523">
        <f t="shared" si="2"/>
        <v>13920</v>
      </c>
      <c r="X180" s="2538">
        <v>11600</v>
      </c>
      <c r="Y180" s="2516"/>
      <c r="Z180" s="2516"/>
    </row>
    <row r="181" spans="1:26" s="57" customFormat="1" ht="18.75">
      <c r="A181" s="32"/>
      <c r="B181" s="54"/>
      <c r="C181" s="1540" t="s">
        <v>588</v>
      </c>
      <c r="D181" s="17"/>
      <c r="E181" s="17"/>
      <c r="F181" s="46"/>
      <c r="G181" s="46"/>
      <c r="H181" s="46"/>
      <c r="I181" s="41" t="s">
        <v>580</v>
      </c>
      <c r="J181" s="1141">
        <v>13200</v>
      </c>
      <c r="K181" s="1395">
        <f>'[1]Профы.'!$G$52</f>
        <v>0.7785</v>
      </c>
      <c r="L181" s="1324">
        <f t="shared" si="11"/>
        <v>13200.7785</v>
      </c>
      <c r="M181" s="1462">
        <f t="shared" si="7"/>
        <v>1.32</v>
      </c>
      <c r="N181" s="1463">
        <f t="shared" si="8"/>
        <v>0.7785</v>
      </c>
      <c r="O181" s="1440">
        <f t="shared" si="9"/>
        <v>2.0985</v>
      </c>
      <c r="P181" s="22"/>
      <c r="Q181" s="56"/>
      <c r="R181" s="2514">
        <f t="shared" si="10"/>
        <v>15179.999999999998</v>
      </c>
      <c r="S181" s="2516"/>
      <c r="T181" s="2516"/>
      <c r="U181" s="2516"/>
      <c r="V181" s="2516"/>
      <c r="W181" s="2523">
        <f t="shared" si="2"/>
        <v>13200</v>
      </c>
      <c r="X181" s="2538">
        <v>11000</v>
      </c>
      <c r="Y181" s="2516"/>
      <c r="Z181" s="2516"/>
    </row>
    <row r="182" spans="1:26" s="57" customFormat="1" ht="18.75">
      <c r="A182" s="32"/>
      <c r="B182" s="54"/>
      <c r="C182" s="1540" t="s">
        <v>589</v>
      </c>
      <c r="D182" s="17"/>
      <c r="E182" s="17"/>
      <c r="F182" s="46"/>
      <c r="G182" s="46"/>
      <c r="H182" s="46"/>
      <c r="I182" s="41" t="s">
        <v>580</v>
      </c>
      <c r="J182" s="1141">
        <v>16800</v>
      </c>
      <c r="K182" s="1395">
        <f>'[1]Профы.'!$G$63</f>
        <v>0.8834345000000001</v>
      </c>
      <c r="L182" s="1324">
        <f t="shared" si="11"/>
        <v>16800.8834345</v>
      </c>
      <c r="M182" s="1462">
        <f t="shared" si="7"/>
        <v>1.68</v>
      </c>
      <c r="N182" s="1463">
        <f t="shared" si="8"/>
        <v>0.8834345000000001</v>
      </c>
      <c r="O182" s="1440">
        <f t="shared" si="9"/>
        <v>2.5634345</v>
      </c>
      <c r="P182" s="22"/>
      <c r="Q182" s="56"/>
      <c r="R182" s="2514">
        <f t="shared" si="10"/>
        <v>19320</v>
      </c>
      <c r="S182" s="2516"/>
      <c r="T182" s="2516"/>
      <c r="U182" s="2516"/>
      <c r="V182" s="2516"/>
      <c r="W182" s="2523">
        <f t="shared" si="2"/>
        <v>16800</v>
      </c>
      <c r="X182" s="2538">
        <v>14000</v>
      </c>
      <c r="Y182" s="2516"/>
      <c r="Z182" s="2516"/>
    </row>
    <row r="183" spans="1:26" s="57" customFormat="1" ht="18.75">
      <c r="A183" s="32"/>
      <c r="B183" s="54"/>
      <c r="C183" s="1540" t="s">
        <v>590</v>
      </c>
      <c r="D183" s="17"/>
      <c r="E183" s="17"/>
      <c r="F183" s="46"/>
      <c r="G183" s="46"/>
      <c r="H183" s="46"/>
      <c r="I183" s="41" t="s">
        <v>580</v>
      </c>
      <c r="J183" s="1141">
        <v>12100</v>
      </c>
      <c r="K183" s="1395">
        <f>'[1]Профы.'!$G$79</f>
        <v>1.1882000000000001</v>
      </c>
      <c r="L183" s="1324">
        <f t="shared" si="11"/>
        <v>12101.1882</v>
      </c>
      <c r="M183" s="1462">
        <f t="shared" si="7"/>
        <v>1.21</v>
      </c>
      <c r="N183" s="1463">
        <f t="shared" si="8"/>
        <v>1.1882000000000001</v>
      </c>
      <c r="O183" s="1440">
        <f t="shared" si="9"/>
        <v>2.3982</v>
      </c>
      <c r="P183" s="22"/>
      <c r="Q183" s="56"/>
      <c r="R183" s="2514">
        <f t="shared" si="10"/>
        <v>13914.999999999998</v>
      </c>
      <c r="S183" s="2516"/>
      <c r="T183" s="2516"/>
      <c r="U183" s="2516"/>
      <c r="V183" s="2516"/>
      <c r="W183" s="2523">
        <f t="shared" si="2"/>
        <v>12120</v>
      </c>
      <c r="X183" s="2538">
        <v>10100</v>
      </c>
      <c r="Y183" s="2516"/>
      <c r="Z183" s="2516"/>
    </row>
    <row r="184" spans="1:26" s="57" customFormat="1" ht="18.75">
      <c r="A184" s="32"/>
      <c r="B184" s="54"/>
      <c r="C184" s="1540" t="s">
        <v>591</v>
      </c>
      <c r="D184" s="17"/>
      <c r="E184" s="17"/>
      <c r="F184" s="46"/>
      <c r="G184" s="46"/>
      <c r="H184" s="46"/>
      <c r="I184" s="41" t="s">
        <v>580</v>
      </c>
      <c r="J184" s="1141">
        <v>14200</v>
      </c>
      <c r="K184" s="1388">
        <f>'[1]Профы.'!$G$86</f>
        <v>0.002</v>
      </c>
      <c r="L184" s="1324">
        <f>SUM(J184:K184)</f>
        <v>14200.002</v>
      </c>
      <c r="M184" s="1462">
        <f t="shared" si="7"/>
        <v>1.42</v>
      </c>
      <c r="N184" s="1463">
        <f t="shared" si="8"/>
        <v>0.002</v>
      </c>
      <c r="O184" s="1440">
        <f t="shared" si="9"/>
        <v>1.422</v>
      </c>
      <c r="P184" s="22"/>
      <c r="Q184" s="56"/>
      <c r="R184" s="2514">
        <f t="shared" si="10"/>
        <v>16329.999999999998</v>
      </c>
      <c r="S184" s="2516"/>
      <c r="T184" s="2516"/>
      <c r="U184" s="2516"/>
      <c r="V184" s="2516"/>
      <c r="W184" s="2523">
        <f t="shared" si="2"/>
        <v>14160</v>
      </c>
      <c r="X184" s="2538">
        <v>11800</v>
      </c>
      <c r="Y184" s="2516"/>
      <c r="Z184" s="2516"/>
    </row>
    <row r="185" spans="1:26" s="57" customFormat="1" ht="18.75">
      <c r="A185" s="32"/>
      <c r="B185" s="54"/>
      <c r="C185" s="1540" t="s">
        <v>342</v>
      </c>
      <c r="D185" s="17"/>
      <c r="E185" s="17"/>
      <c r="F185" s="46"/>
      <c r="G185" s="46"/>
      <c r="H185" s="46"/>
      <c r="I185" s="41" t="s">
        <v>580</v>
      </c>
      <c r="J185" s="1141">
        <v>15100</v>
      </c>
      <c r="K185" s="1388">
        <f>'[1]Профы.'!$G$86</f>
        <v>0.002</v>
      </c>
      <c r="L185" s="1324">
        <f>SUM(J185:K185)</f>
        <v>15100.002</v>
      </c>
      <c r="M185" s="1462">
        <f t="shared" si="7"/>
        <v>1.51</v>
      </c>
      <c r="N185" s="1463">
        <f t="shared" si="8"/>
        <v>0.002</v>
      </c>
      <c r="O185" s="1440">
        <f t="shared" si="9"/>
        <v>1.512</v>
      </c>
      <c r="P185" s="22"/>
      <c r="Q185" s="56"/>
      <c r="R185" s="2514"/>
      <c r="S185" s="2516"/>
      <c r="T185" s="2516"/>
      <c r="U185" s="2516"/>
      <c r="V185" s="2516"/>
      <c r="W185" s="2523">
        <f t="shared" si="2"/>
        <v>15120</v>
      </c>
      <c r="X185" s="2538">
        <v>12600</v>
      </c>
      <c r="Y185" s="2516"/>
      <c r="Z185" s="2516"/>
    </row>
    <row r="186" spans="1:26" s="57" customFormat="1" ht="18.75">
      <c r="A186" s="32"/>
      <c r="B186" s="54"/>
      <c r="C186" s="1540" t="s">
        <v>592</v>
      </c>
      <c r="D186" s="17"/>
      <c r="E186" s="17"/>
      <c r="F186" s="46"/>
      <c r="G186" s="46"/>
      <c r="H186" s="46"/>
      <c r="I186" s="41" t="s">
        <v>580</v>
      </c>
      <c r="J186" s="1141">
        <v>14900</v>
      </c>
      <c r="K186" s="1395">
        <f>'[1]Профы.'!$G$94</f>
        <v>1.0579345</v>
      </c>
      <c r="L186" s="1324">
        <f t="shared" si="11"/>
        <v>14901.0579345</v>
      </c>
      <c r="M186" s="1462">
        <f t="shared" si="7"/>
        <v>1.49</v>
      </c>
      <c r="N186" s="1463">
        <f t="shared" si="8"/>
        <v>1.0579345</v>
      </c>
      <c r="O186" s="1440">
        <f t="shared" si="9"/>
        <v>2.5479345</v>
      </c>
      <c r="P186" s="22"/>
      <c r="Q186" s="56">
        <v>-1000</v>
      </c>
      <c r="R186" s="2514">
        <f>J186*1.15</f>
        <v>17135</v>
      </c>
      <c r="S186" s="2516"/>
      <c r="T186" s="2516"/>
      <c r="U186" s="2516"/>
      <c r="V186" s="2516"/>
      <c r="W186" s="2523">
        <f t="shared" si="2"/>
        <v>14880</v>
      </c>
      <c r="X186" s="2538">
        <v>12400</v>
      </c>
      <c r="Y186" s="2516"/>
      <c r="Z186" s="2516"/>
    </row>
    <row r="187" spans="1:26" s="57" customFormat="1" ht="18.75">
      <c r="A187" s="32"/>
      <c r="B187" s="54"/>
      <c r="C187" s="126" t="s">
        <v>593</v>
      </c>
      <c r="D187" s="17"/>
      <c r="E187" s="17"/>
      <c r="F187" s="46"/>
      <c r="G187" s="46"/>
      <c r="H187" s="46"/>
      <c r="I187" s="41" t="s">
        <v>594</v>
      </c>
      <c r="J187" s="1141">
        <v>15400</v>
      </c>
      <c r="K187" s="1388"/>
      <c r="L187" s="1324">
        <f t="shared" si="11"/>
        <v>15400</v>
      </c>
      <c r="M187" s="1462">
        <f t="shared" si="7"/>
        <v>1.54</v>
      </c>
      <c r="N187" s="1463">
        <f t="shared" si="8"/>
        <v>0</v>
      </c>
      <c r="O187" s="1440">
        <f t="shared" si="9"/>
        <v>1.54</v>
      </c>
      <c r="P187" s="22"/>
      <c r="Q187" s="56"/>
      <c r="R187" s="2514">
        <f>J187*1.15</f>
        <v>17710</v>
      </c>
      <c r="S187" s="2516"/>
      <c r="T187" s="2516"/>
      <c r="U187" s="2516"/>
      <c r="V187" s="2516"/>
      <c r="W187" s="2523">
        <f t="shared" si="2"/>
        <v>15360</v>
      </c>
      <c r="X187" s="2538">
        <v>12800</v>
      </c>
      <c r="Y187" s="2516"/>
      <c r="Z187" s="2516"/>
    </row>
    <row r="188" spans="1:26" s="57" customFormat="1" ht="18.75">
      <c r="A188" s="32"/>
      <c r="B188" s="54"/>
      <c r="C188" s="1540" t="s">
        <v>595</v>
      </c>
      <c r="D188" s="17"/>
      <c r="E188" s="17"/>
      <c r="F188" s="46"/>
      <c r="G188" s="46"/>
      <c r="H188" s="46"/>
      <c r="I188" s="41" t="s">
        <v>594</v>
      </c>
      <c r="J188" s="1141">
        <v>5200</v>
      </c>
      <c r="K188" s="1388"/>
      <c r="L188" s="1324">
        <f t="shared" si="11"/>
        <v>5200</v>
      </c>
      <c r="M188" s="1462">
        <f t="shared" si="7"/>
        <v>0.52</v>
      </c>
      <c r="N188" s="1463">
        <f t="shared" si="8"/>
        <v>0</v>
      </c>
      <c r="O188" s="1440">
        <f t="shared" si="9"/>
        <v>0.52</v>
      </c>
      <c r="P188" s="22"/>
      <c r="Q188" s="56"/>
      <c r="R188" s="2514">
        <f>J188*1.15</f>
        <v>5979.999999999999</v>
      </c>
      <c r="S188" s="2516"/>
      <c r="T188" s="2516"/>
      <c r="U188" s="2516"/>
      <c r="V188" s="2516"/>
      <c r="W188" s="2523">
        <f t="shared" si="2"/>
        <v>5160</v>
      </c>
      <c r="X188" s="2538">
        <v>4300</v>
      </c>
      <c r="Y188" s="2516"/>
      <c r="Z188" s="2516"/>
    </row>
    <row r="189" spans="1:26" s="57" customFormat="1" ht="18.75">
      <c r="A189" s="32"/>
      <c r="B189" s="54"/>
      <c r="C189" s="1541" t="s">
        <v>596</v>
      </c>
      <c r="D189" s="17"/>
      <c r="E189" s="17"/>
      <c r="F189" s="46"/>
      <c r="G189" s="46"/>
      <c r="H189" s="46"/>
      <c r="I189" s="41"/>
      <c r="J189" s="1141"/>
      <c r="K189" s="1388"/>
      <c r="L189" s="1324"/>
      <c r="M189" s="1462"/>
      <c r="N189" s="1468"/>
      <c r="O189" s="1440"/>
      <c r="P189" s="22"/>
      <c r="Q189" s="56"/>
      <c r="R189" s="2516"/>
      <c r="S189" s="2516"/>
      <c r="T189" s="2516"/>
      <c r="U189" s="2516"/>
      <c r="V189" s="2516"/>
      <c r="W189" s="2523">
        <f t="shared" si="2"/>
        <v>0</v>
      </c>
      <c r="X189" s="2538"/>
      <c r="Y189" s="2516"/>
      <c r="Z189" s="2516"/>
    </row>
    <row r="190" spans="1:26" s="57" customFormat="1" ht="18.75">
      <c r="A190" s="32"/>
      <c r="B190" s="54"/>
      <c r="C190" s="1540" t="s">
        <v>597</v>
      </c>
      <c r="D190" s="17"/>
      <c r="E190" s="17"/>
      <c r="F190" s="46"/>
      <c r="G190" s="46"/>
      <c r="H190" s="46"/>
      <c r="I190" s="41" t="s">
        <v>573</v>
      </c>
      <c r="J190" s="1141">
        <v>8000</v>
      </c>
      <c r="K190" s="1388">
        <f>'[1]Профы.'!$G$100</f>
        <v>0.002</v>
      </c>
      <c r="L190" s="1324">
        <f t="shared" si="11"/>
        <v>8000.002</v>
      </c>
      <c r="M190" s="1462">
        <f>J190/10000</f>
        <v>0.8</v>
      </c>
      <c r="N190" s="2112">
        <f>K190</f>
        <v>0.002</v>
      </c>
      <c r="O190" s="1440">
        <f>SUM(M190:N190)</f>
        <v>0.802</v>
      </c>
      <c r="P190" s="22"/>
      <c r="Q190" s="56"/>
      <c r="R190" s="2514">
        <f>J190*1.15</f>
        <v>9200</v>
      </c>
      <c r="S190" s="2516"/>
      <c r="T190" s="2516"/>
      <c r="U190" s="2516"/>
      <c r="V190" s="2516"/>
      <c r="W190" s="2523">
        <f t="shared" si="2"/>
        <v>8040</v>
      </c>
      <c r="X190" s="2538">
        <v>6700</v>
      </c>
      <c r="Y190" s="2516"/>
      <c r="Z190" s="2516"/>
    </row>
    <row r="191" spans="1:26" s="57" customFormat="1" ht="18.75">
      <c r="A191" s="32"/>
      <c r="B191" s="54"/>
      <c r="C191" s="1540" t="s">
        <v>598</v>
      </c>
      <c r="D191" s="17"/>
      <c r="E191" s="17"/>
      <c r="F191" s="46"/>
      <c r="G191" s="46"/>
      <c r="H191" s="46"/>
      <c r="I191" s="41" t="s">
        <v>573</v>
      </c>
      <c r="J191" s="1141">
        <v>3200</v>
      </c>
      <c r="K191" s="1388">
        <f>'[1]Профы.'!$G$104</f>
        <v>0.0035</v>
      </c>
      <c r="L191" s="1324">
        <f t="shared" si="11"/>
        <v>3200.0035</v>
      </c>
      <c r="M191" s="1462">
        <f>J191/10000</f>
        <v>0.32</v>
      </c>
      <c r="N191" s="2112">
        <f>K191</f>
        <v>0.0035</v>
      </c>
      <c r="O191" s="1440">
        <f>SUM(M191:N191)</f>
        <v>0.3235</v>
      </c>
      <c r="P191" s="22"/>
      <c r="Q191" s="56"/>
      <c r="R191" s="2514">
        <f>J191*1.15</f>
        <v>3679.9999999999995</v>
      </c>
      <c r="S191" s="2516"/>
      <c r="T191" s="2516"/>
      <c r="U191" s="2516"/>
      <c r="V191" s="2516"/>
      <c r="W191" s="2523">
        <f t="shared" si="2"/>
        <v>3240</v>
      </c>
      <c r="X191" s="2538">
        <v>2700</v>
      </c>
      <c r="Y191" s="2516"/>
      <c r="Z191" s="2516"/>
    </row>
    <row r="192" spans="1:26" s="57" customFormat="1" ht="18.75">
      <c r="A192" s="32"/>
      <c r="B192" s="54"/>
      <c r="C192" s="1540" t="s">
        <v>599</v>
      </c>
      <c r="D192" s="17"/>
      <c r="E192" s="17"/>
      <c r="F192" s="46"/>
      <c r="G192" s="46"/>
      <c r="H192" s="46"/>
      <c r="I192" s="41" t="s">
        <v>573</v>
      </c>
      <c r="J192" s="1141">
        <v>31200</v>
      </c>
      <c r="K192" s="1395">
        <f>'[1]Профы.'!$G$108</f>
        <v>0.006500000000000001</v>
      </c>
      <c r="L192" s="1324">
        <f>SUM(J192:K192)</f>
        <v>31200.0065</v>
      </c>
      <c r="M192" s="1462">
        <f>J192/10000</f>
        <v>3.12</v>
      </c>
      <c r="N192" s="1463">
        <f>K192</f>
        <v>0.006500000000000001</v>
      </c>
      <c r="O192" s="1440">
        <f>SUM(M192:N192)</f>
        <v>3.1265</v>
      </c>
      <c r="P192" s="22"/>
      <c r="Q192" s="56"/>
      <c r="R192" s="2514">
        <f>J192*1.15</f>
        <v>35880</v>
      </c>
      <c r="S192" s="2516"/>
      <c r="T192" s="2516"/>
      <c r="U192" s="2516"/>
      <c r="V192" s="2516"/>
      <c r="W192" s="2523">
        <f t="shared" si="2"/>
        <v>31200</v>
      </c>
      <c r="X192" s="2538">
        <v>26000</v>
      </c>
      <c r="Y192" s="2516"/>
      <c r="Z192" s="2516"/>
    </row>
    <row r="193" spans="1:26" s="57" customFormat="1" ht="18.75">
      <c r="A193" s="32"/>
      <c r="B193" s="54"/>
      <c r="C193" s="1540" t="s">
        <v>600</v>
      </c>
      <c r="D193" s="17"/>
      <c r="E193" s="17"/>
      <c r="F193" s="46"/>
      <c r="G193" s="46"/>
      <c r="H193" s="46"/>
      <c r="I193" s="41" t="s">
        <v>573</v>
      </c>
      <c r="J193" s="1141">
        <v>12000</v>
      </c>
      <c r="K193" s="1388">
        <f>'[1]Профы.'!$G$111</f>
        <v>0.002</v>
      </c>
      <c r="L193" s="1324">
        <f t="shared" si="11"/>
        <v>12000.002</v>
      </c>
      <c r="M193" s="1462">
        <f>J193/10000</f>
        <v>1.2</v>
      </c>
      <c r="N193" s="2112">
        <f>K193</f>
        <v>0.002</v>
      </c>
      <c r="O193" s="1440">
        <f>SUM(M193:N193)</f>
        <v>1.202</v>
      </c>
      <c r="P193" s="22"/>
      <c r="Q193" s="56"/>
      <c r="R193" s="2514">
        <f>J193*1.15</f>
        <v>13799.999999999998</v>
      </c>
      <c r="S193" s="2516"/>
      <c r="T193" s="2516"/>
      <c r="U193" s="2516"/>
      <c r="V193" s="2516"/>
      <c r="W193" s="2523">
        <f t="shared" si="2"/>
        <v>12000</v>
      </c>
      <c r="X193" s="2538">
        <v>10000</v>
      </c>
      <c r="Y193" s="2516"/>
      <c r="Z193" s="2516"/>
    </row>
    <row r="194" spans="1:26" s="57" customFormat="1" ht="18.75">
      <c r="A194" s="32"/>
      <c r="B194" s="54"/>
      <c r="C194" s="1540" t="s">
        <v>601</v>
      </c>
      <c r="D194" s="17"/>
      <c r="E194" s="17"/>
      <c r="F194" s="46"/>
      <c r="G194" s="46"/>
      <c r="H194" s="46"/>
      <c r="I194" s="41" t="s">
        <v>573</v>
      </c>
      <c r="J194" s="1141">
        <v>1200</v>
      </c>
      <c r="K194" s="1395">
        <f>'[1]Профы.'!$G$116</f>
        <v>0.0085</v>
      </c>
      <c r="L194" s="1324">
        <f t="shared" si="11"/>
        <v>1200.0085</v>
      </c>
      <c r="M194" s="1462">
        <f>J194/10000</f>
        <v>0.12</v>
      </c>
      <c r="N194" s="1463">
        <f>K194</f>
        <v>0.0085</v>
      </c>
      <c r="O194" s="1440">
        <f>SUM(M194:N194)</f>
        <v>0.1285</v>
      </c>
      <c r="P194" s="22"/>
      <c r="Q194" s="56"/>
      <c r="R194" s="2514">
        <f>J194*1.15</f>
        <v>1380</v>
      </c>
      <c r="S194" s="2516"/>
      <c r="T194" s="2516"/>
      <c r="U194" s="2516"/>
      <c r="V194" s="2516"/>
      <c r="W194" s="2523">
        <f t="shared" si="2"/>
        <v>1200</v>
      </c>
      <c r="X194" s="2538">
        <v>1000</v>
      </c>
      <c r="Y194" s="2516"/>
      <c r="Z194" s="2516"/>
    </row>
    <row r="195" spans="1:26" s="57" customFormat="1" ht="18.75">
      <c r="A195" s="32"/>
      <c r="B195" s="54"/>
      <c r="C195" s="58"/>
      <c r="D195" s="35"/>
      <c r="E195" s="46"/>
      <c r="F195" s="46"/>
      <c r="G195" s="46"/>
      <c r="H195" s="46"/>
      <c r="I195" s="41"/>
      <c r="J195" s="1141"/>
      <c r="K195" s="1347"/>
      <c r="L195" s="1324"/>
      <c r="M195" s="1462"/>
      <c r="N195" s="1465"/>
      <c r="O195" s="1440"/>
      <c r="P195" s="22"/>
      <c r="Q195" s="56"/>
      <c r="R195" s="2516"/>
      <c r="S195" s="2516"/>
      <c r="T195" s="2516"/>
      <c r="U195" s="2516"/>
      <c r="V195" s="2516"/>
      <c r="W195" s="2523">
        <f t="shared" si="2"/>
        <v>0</v>
      </c>
      <c r="X195" s="2538"/>
      <c r="Y195" s="2516"/>
      <c r="Z195" s="2516"/>
    </row>
    <row r="196" spans="1:26" s="57" customFormat="1" ht="18.75">
      <c r="A196" s="1011">
        <v>8</v>
      </c>
      <c r="B196" s="91" t="s">
        <v>524</v>
      </c>
      <c r="C196" s="101"/>
      <c r="D196" s="35"/>
      <c r="E196" s="46"/>
      <c r="F196" s="46"/>
      <c r="G196" s="46"/>
      <c r="H196" s="46"/>
      <c r="I196" s="41"/>
      <c r="J196" s="951"/>
      <c r="K196" s="1328"/>
      <c r="L196" s="1324"/>
      <c r="M196" s="1462"/>
      <c r="N196" s="1465"/>
      <c r="O196" s="1440"/>
      <c r="P196" s="22"/>
      <c r="Q196" s="56"/>
      <c r="R196" s="2516"/>
      <c r="S196" s="2516"/>
      <c r="T196" s="2516"/>
      <c r="U196" s="2516"/>
      <c r="V196" s="2516"/>
      <c r="W196" s="2523">
        <f t="shared" si="2"/>
        <v>0</v>
      </c>
      <c r="X196" s="2538"/>
      <c r="Y196" s="2516"/>
      <c r="Z196" s="2516"/>
    </row>
    <row r="197" spans="1:26" s="57" customFormat="1" ht="18.75">
      <c r="A197" s="32" t="s">
        <v>602</v>
      </c>
      <c r="B197" s="54"/>
      <c r="C197" s="635" t="s">
        <v>383</v>
      </c>
      <c r="D197" s="35"/>
      <c r="E197" s="46"/>
      <c r="F197" s="46"/>
      <c r="G197" s="46"/>
      <c r="H197" s="46"/>
      <c r="I197" s="41"/>
      <c r="J197" s="951"/>
      <c r="K197" s="1336" t="s">
        <v>609</v>
      </c>
      <c r="L197" s="1337">
        <f>SUM(L201:L210)-L206</f>
        <v>104200.04261700001</v>
      </c>
      <c r="M197" s="1462"/>
      <c r="N197" s="1469" t="s">
        <v>609</v>
      </c>
      <c r="O197" s="1448">
        <f>SUM(O201:O210)-O206</f>
        <v>10.462616999999998</v>
      </c>
      <c r="P197" s="22"/>
      <c r="Q197" s="56"/>
      <c r="R197" s="2516"/>
      <c r="S197" s="2516"/>
      <c r="T197" s="2516"/>
      <c r="U197" s="2516"/>
      <c r="V197" s="2516"/>
      <c r="W197" s="2523">
        <f t="shared" si="2"/>
        <v>0</v>
      </c>
      <c r="X197" s="2538"/>
      <c r="Y197" s="2516"/>
      <c r="Z197" s="2516"/>
    </row>
    <row r="198" spans="1:26" s="57" customFormat="1" ht="18.75">
      <c r="A198" s="32"/>
      <c r="B198" s="54"/>
      <c r="C198" s="635" t="s">
        <v>384</v>
      </c>
      <c r="D198" s="35"/>
      <c r="E198" s="46"/>
      <c r="F198" s="46"/>
      <c r="G198" s="46"/>
      <c r="H198" s="46"/>
      <c r="I198" s="41"/>
      <c r="J198" s="951"/>
      <c r="K198" s="1336" t="s">
        <v>611</v>
      </c>
      <c r="L198" s="1337">
        <f>SUM(L201:L210)</f>
        <v>123001.76481700002</v>
      </c>
      <c r="M198" s="1462"/>
      <c r="N198" s="1469" t="s">
        <v>611</v>
      </c>
      <c r="O198" s="1448">
        <f>SUM(O201:O210)</f>
        <v>14.064816999999998</v>
      </c>
      <c r="P198" s="22"/>
      <c r="Q198" s="56"/>
      <c r="R198" s="2516"/>
      <c r="S198" s="2516"/>
      <c r="T198" s="2516"/>
      <c r="U198" s="2516"/>
      <c r="V198" s="2516"/>
      <c r="W198" s="2523">
        <f t="shared" si="2"/>
        <v>0</v>
      </c>
      <c r="X198" s="2538"/>
      <c r="Y198" s="2516"/>
      <c r="Z198" s="2516"/>
    </row>
    <row r="199" spans="1:26" s="57" customFormat="1" ht="18.75">
      <c r="A199" s="32"/>
      <c r="B199" s="54"/>
      <c r="C199" s="635" t="s">
        <v>385</v>
      </c>
      <c r="D199" s="35"/>
      <c r="E199" s="46"/>
      <c r="F199" s="46"/>
      <c r="G199" s="46"/>
      <c r="H199" s="46"/>
      <c r="I199" s="41"/>
      <c r="J199" s="951"/>
      <c r="K199" s="1328"/>
      <c r="L199" s="1324"/>
      <c r="M199" s="1462"/>
      <c r="N199" s="1465"/>
      <c r="O199" s="1440"/>
      <c r="P199" s="22"/>
      <c r="Q199" s="56"/>
      <c r="R199" s="2516"/>
      <c r="S199" s="2516"/>
      <c r="T199" s="2516"/>
      <c r="U199" s="2516"/>
      <c r="V199" s="2516"/>
      <c r="W199" s="2523">
        <f t="shared" si="2"/>
        <v>0</v>
      </c>
      <c r="X199" s="2538"/>
      <c r="Y199" s="2516"/>
      <c r="Z199" s="2516"/>
    </row>
    <row r="200" spans="1:26" s="57" customFormat="1" ht="18">
      <c r="A200" s="32"/>
      <c r="B200" s="54"/>
      <c r="C200" s="1541" t="s">
        <v>606</v>
      </c>
      <c r="D200" s="17"/>
      <c r="E200" s="17"/>
      <c r="F200" s="46"/>
      <c r="G200" s="46"/>
      <c r="H200" s="46"/>
      <c r="I200" s="61"/>
      <c r="J200" s="951"/>
      <c r="K200" s="1328"/>
      <c r="L200" s="1327"/>
      <c r="M200" s="1462"/>
      <c r="N200" s="1465"/>
      <c r="O200" s="1441"/>
      <c r="P200" s="22"/>
      <c r="Q200" s="56"/>
      <c r="R200" s="2516"/>
      <c r="S200" s="2516"/>
      <c r="T200" s="2516"/>
      <c r="U200" s="2516"/>
      <c r="V200" s="2516"/>
      <c r="W200" s="2523">
        <f t="shared" si="2"/>
        <v>0</v>
      </c>
      <c r="X200" s="2538"/>
      <c r="Y200" s="2516"/>
      <c r="Z200" s="2516"/>
    </row>
    <row r="201" spans="1:26" s="57" customFormat="1" ht="18.75">
      <c r="A201" s="32"/>
      <c r="B201" s="54"/>
      <c r="C201" s="1540" t="s">
        <v>579</v>
      </c>
      <c r="D201" s="17"/>
      <c r="E201" s="17"/>
      <c r="F201" s="46"/>
      <c r="G201" s="46"/>
      <c r="H201" s="46"/>
      <c r="I201" s="41" t="s">
        <v>580</v>
      </c>
      <c r="J201" s="1141">
        <f aca="true" t="shared" si="12" ref="J201:K206">J173</f>
        <v>11500</v>
      </c>
      <c r="K201" s="1141">
        <f t="shared" si="12"/>
        <v>0.0155</v>
      </c>
      <c r="L201" s="1324">
        <f aca="true" t="shared" si="13" ref="L201:L210">SUM(J201:K201)</f>
        <v>11500.0155</v>
      </c>
      <c r="M201" s="1462">
        <f>J201/10000</f>
        <v>1.15</v>
      </c>
      <c r="N201" s="1462">
        <f aca="true" t="shared" si="14" ref="M201:N206">N173</f>
        <v>0.0155</v>
      </c>
      <c r="O201" s="1440">
        <f aca="true" t="shared" si="15" ref="O201:O210">SUM(M201:N201)</f>
        <v>1.1655</v>
      </c>
      <c r="P201" s="22"/>
      <c r="Q201" s="56"/>
      <c r="R201" s="2516"/>
      <c r="S201" s="2516"/>
      <c r="T201" s="2516"/>
      <c r="U201" s="2516"/>
      <c r="V201" s="2516"/>
      <c r="W201" s="2523">
        <f t="shared" si="2"/>
        <v>11520</v>
      </c>
      <c r="X201" s="2538">
        <f aca="true" t="shared" si="16" ref="X201:X206">X173</f>
        <v>9600</v>
      </c>
      <c r="Y201" s="2516"/>
      <c r="Z201" s="2516"/>
    </row>
    <row r="202" spans="1:26" s="57" customFormat="1" ht="18.75">
      <c r="A202" s="32"/>
      <c r="B202" s="54"/>
      <c r="C202" s="1540" t="s">
        <v>581</v>
      </c>
      <c r="D202" s="17"/>
      <c r="E202" s="17"/>
      <c r="F202" s="46"/>
      <c r="G202" s="46"/>
      <c r="H202" s="46"/>
      <c r="I202" s="41" t="s">
        <v>580</v>
      </c>
      <c r="J202" s="1141">
        <f t="shared" si="12"/>
        <v>10900</v>
      </c>
      <c r="K202" s="1141">
        <f t="shared" si="12"/>
        <v>0.00125</v>
      </c>
      <c r="L202" s="1324">
        <f t="shared" si="13"/>
        <v>10900.00125</v>
      </c>
      <c r="M202" s="1462">
        <f t="shared" si="14"/>
        <v>1.09</v>
      </c>
      <c r="N202" s="2117">
        <f t="shared" si="14"/>
        <v>0.00125</v>
      </c>
      <c r="O202" s="1440">
        <f t="shared" si="15"/>
        <v>1.09125</v>
      </c>
      <c r="P202" s="22"/>
      <c r="Q202" s="56"/>
      <c r="R202" s="2516"/>
      <c r="S202" s="2516"/>
      <c r="T202" s="2516"/>
      <c r="U202" s="2516"/>
      <c r="V202" s="2516"/>
      <c r="W202" s="2523">
        <f t="shared" si="2"/>
        <v>10920</v>
      </c>
      <c r="X202" s="2538">
        <f t="shared" si="16"/>
        <v>9100</v>
      </c>
      <c r="Y202" s="2516"/>
      <c r="Z202" s="2516"/>
    </row>
    <row r="203" spans="1:26" s="57" customFormat="1" ht="18.75">
      <c r="A203" s="32"/>
      <c r="B203" s="54"/>
      <c r="C203" s="1540" t="s">
        <v>582</v>
      </c>
      <c r="D203" s="17"/>
      <c r="E203" s="17"/>
      <c r="F203" s="46"/>
      <c r="G203" s="46"/>
      <c r="H203" s="46"/>
      <c r="I203" s="41" t="s">
        <v>580</v>
      </c>
      <c r="J203" s="1141">
        <f t="shared" si="12"/>
        <v>11800</v>
      </c>
      <c r="K203" s="1141">
        <f t="shared" si="12"/>
        <v>0.0023</v>
      </c>
      <c r="L203" s="1324">
        <f t="shared" si="13"/>
        <v>11800.0023</v>
      </c>
      <c r="M203" s="1462">
        <f t="shared" si="14"/>
        <v>1.18</v>
      </c>
      <c r="N203" s="2117">
        <f t="shared" si="14"/>
        <v>0.0023</v>
      </c>
      <c r="O203" s="1440">
        <f t="shared" si="15"/>
        <v>1.1823</v>
      </c>
      <c r="P203" s="22"/>
      <c r="Q203" s="56"/>
      <c r="R203" s="2516"/>
      <c r="S203" s="2516"/>
      <c r="T203" s="2516"/>
      <c r="U203" s="2516"/>
      <c r="V203" s="2516"/>
      <c r="W203" s="2523">
        <f t="shared" si="2"/>
        <v>11760</v>
      </c>
      <c r="X203" s="2538">
        <f t="shared" si="16"/>
        <v>9800</v>
      </c>
      <c r="Y203" s="2516"/>
      <c r="Z203" s="2516"/>
    </row>
    <row r="204" spans="1:26" s="57" customFormat="1" ht="18.75">
      <c r="A204" s="32"/>
      <c r="B204" s="54"/>
      <c r="C204" s="1540" t="s">
        <v>583</v>
      </c>
      <c r="D204" s="17"/>
      <c r="E204" s="17"/>
      <c r="F204" s="46"/>
      <c r="G204" s="46"/>
      <c r="H204" s="46"/>
      <c r="I204" s="41" t="s">
        <v>580</v>
      </c>
      <c r="J204" s="1141">
        <f t="shared" si="12"/>
        <v>10600</v>
      </c>
      <c r="K204" s="1141">
        <f t="shared" si="12"/>
        <v>0.018317</v>
      </c>
      <c r="L204" s="1324">
        <f t="shared" si="13"/>
        <v>10600.018317</v>
      </c>
      <c r="M204" s="1462">
        <f t="shared" si="14"/>
        <v>1.06</v>
      </c>
      <c r="N204" s="1462">
        <f t="shared" si="14"/>
        <v>0.018317</v>
      </c>
      <c r="O204" s="1440">
        <f t="shared" si="15"/>
        <v>1.078317</v>
      </c>
      <c r="P204" s="22"/>
      <c r="Q204" s="56"/>
      <c r="R204" s="2516"/>
      <c r="S204" s="2516"/>
      <c r="T204" s="2516"/>
      <c r="U204" s="2516"/>
      <c r="V204" s="2516"/>
      <c r="W204" s="2523">
        <f t="shared" si="2"/>
        <v>10560</v>
      </c>
      <c r="X204" s="2538">
        <f t="shared" si="16"/>
        <v>8800</v>
      </c>
      <c r="Y204" s="2516"/>
      <c r="Z204" s="2516"/>
    </row>
    <row r="205" spans="1:26" s="57" customFormat="1" ht="18.75">
      <c r="A205" s="32"/>
      <c r="B205" s="54"/>
      <c r="C205" s="1540" t="s">
        <v>584</v>
      </c>
      <c r="D205" s="17"/>
      <c r="E205" s="17"/>
      <c r="F205" s="46"/>
      <c r="G205" s="46"/>
      <c r="H205" s="46"/>
      <c r="I205" s="41" t="s">
        <v>580</v>
      </c>
      <c r="J205" s="1141">
        <f t="shared" si="12"/>
        <v>10700</v>
      </c>
      <c r="K205" s="1141">
        <f t="shared" si="12"/>
        <v>0.00125</v>
      </c>
      <c r="L205" s="1324">
        <f t="shared" si="13"/>
        <v>10700.00125</v>
      </c>
      <c r="M205" s="1462">
        <f t="shared" si="14"/>
        <v>1.07</v>
      </c>
      <c r="N205" s="2117">
        <f t="shared" si="14"/>
        <v>0.00125</v>
      </c>
      <c r="O205" s="1440">
        <f t="shared" si="15"/>
        <v>1.07125</v>
      </c>
      <c r="P205" s="22"/>
      <c r="Q205" s="56"/>
      <c r="R205" s="2516"/>
      <c r="S205" s="2516"/>
      <c r="T205" s="2516"/>
      <c r="U205" s="2516"/>
      <c r="V205" s="2516"/>
      <c r="W205" s="2523">
        <f t="shared" si="2"/>
        <v>10680</v>
      </c>
      <c r="X205" s="2538">
        <f t="shared" si="16"/>
        <v>8900</v>
      </c>
      <c r="Y205" s="2516"/>
      <c r="Z205" s="2516"/>
    </row>
    <row r="206" spans="1:26" s="57" customFormat="1" ht="18.75">
      <c r="A206" s="32"/>
      <c r="B206" s="54"/>
      <c r="C206" s="1540" t="s">
        <v>585</v>
      </c>
      <c r="D206" s="17"/>
      <c r="E206" s="17"/>
      <c r="F206" s="46"/>
      <c r="G206" s="46"/>
      <c r="H206" s="46"/>
      <c r="I206" s="41" t="s">
        <v>580</v>
      </c>
      <c r="J206" s="1141">
        <f t="shared" si="12"/>
        <v>18800</v>
      </c>
      <c r="K206" s="1141">
        <f t="shared" si="12"/>
        <v>1.7222</v>
      </c>
      <c r="L206" s="1324">
        <f t="shared" si="13"/>
        <v>18801.7222</v>
      </c>
      <c r="M206" s="1462">
        <f t="shared" si="14"/>
        <v>1.88</v>
      </c>
      <c r="N206" s="1462">
        <f t="shared" si="14"/>
        <v>1.7222</v>
      </c>
      <c r="O206" s="1440">
        <f t="shared" si="15"/>
        <v>3.6022</v>
      </c>
      <c r="P206" s="22"/>
      <c r="Q206" s="56"/>
      <c r="R206" s="2516"/>
      <c r="S206" s="2516"/>
      <c r="T206" s="2516"/>
      <c r="U206" s="2516"/>
      <c r="V206" s="2516"/>
      <c r="W206" s="2523">
        <f t="shared" si="2"/>
        <v>18840</v>
      </c>
      <c r="X206" s="2538">
        <f t="shared" si="16"/>
        <v>15700</v>
      </c>
      <c r="Y206" s="2516"/>
      <c r="Z206" s="2516"/>
    </row>
    <row r="207" spans="1:26" s="57" customFormat="1" ht="18.75">
      <c r="A207" s="32"/>
      <c r="B207" s="54"/>
      <c r="C207" s="1540" t="s">
        <v>587</v>
      </c>
      <c r="D207" s="17"/>
      <c r="E207" s="17"/>
      <c r="F207" s="46"/>
      <c r="G207" s="46"/>
      <c r="H207" s="46"/>
      <c r="I207" s="41" t="s">
        <v>580</v>
      </c>
      <c r="J207" s="1141">
        <f>J180</f>
        <v>13900</v>
      </c>
      <c r="K207" s="1141">
        <f>K180</f>
        <v>0.002</v>
      </c>
      <c r="L207" s="1324">
        <f t="shared" si="13"/>
        <v>13900.002</v>
      </c>
      <c r="M207" s="1462">
        <f>M180</f>
        <v>1.39</v>
      </c>
      <c r="N207" s="1462">
        <f>N180</f>
        <v>0.002</v>
      </c>
      <c r="O207" s="1440">
        <f t="shared" si="15"/>
        <v>1.392</v>
      </c>
      <c r="P207" s="22"/>
      <c r="Q207" s="56"/>
      <c r="R207" s="2516"/>
      <c r="S207" s="2516"/>
      <c r="T207" s="2516"/>
      <c r="U207" s="2516"/>
      <c r="V207" s="2516"/>
      <c r="W207" s="2523">
        <f t="shared" si="2"/>
        <v>13920</v>
      </c>
      <c r="X207" s="2538">
        <f>X180</f>
        <v>11600</v>
      </c>
      <c r="Y207" s="2516"/>
      <c r="Z207" s="2516"/>
    </row>
    <row r="208" spans="1:26" s="57" customFormat="1" ht="18.75">
      <c r="A208" s="32"/>
      <c r="B208" s="54"/>
      <c r="C208" s="1540" t="s">
        <v>591</v>
      </c>
      <c r="D208" s="17"/>
      <c r="E208" s="17"/>
      <c r="F208" s="46"/>
      <c r="G208" s="46"/>
      <c r="H208" s="46"/>
      <c r="I208" s="41" t="s">
        <v>580</v>
      </c>
      <c r="J208" s="1141">
        <f>J184</f>
        <v>14200</v>
      </c>
      <c r="K208" s="1141">
        <f>K184</f>
        <v>0.002</v>
      </c>
      <c r="L208" s="1324">
        <f t="shared" si="13"/>
        <v>14200.002</v>
      </c>
      <c r="M208" s="1462">
        <f>M184</f>
        <v>1.42</v>
      </c>
      <c r="N208" s="1462">
        <f>N184</f>
        <v>0.002</v>
      </c>
      <c r="O208" s="1440">
        <f t="shared" si="15"/>
        <v>1.422</v>
      </c>
      <c r="P208" s="22"/>
      <c r="Q208" s="56"/>
      <c r="R208" s="2516"/>
      <c r="S208" s="2516"/>
      <c r="T208" s="2516"/>
      <c r="U208" s="2516"/>
      <c r="V208" s="2516"/>
      <c r="W208" s="2523">
        <f t="shared" si="2"/>
        <v>14160</v>
      </c>
      <c r="X208" s="2538">
        <f>X184</f>
        <v>11800</v>
      </c>
      <c r="Y208" s="2516"/>
      <c r="Z208" s="2516"/>
    </row>
    <row r="209" spans="1:26" s="57" customFormat="1" ht="18.75">
      <c r="A209" s="32"/>
      <c r="B209" s="54"/>
      <c r="C209" s="126" t="s">
        <v>593</v>
      </c>
      <c r="D209" s="17"/>
      <c r="E209" s="17"/>
      <c r="F209" s="46"/>
      <c r="G209" s="46"/>
      <c r="H209" s="46"/>
      <c r="I209" s="41" t="s">
        <v>594</v>
      </c>
      <c r="J209" s="1141">
        <f>J187</f>
        <v>15400</v>
      </c>
      <c r="K209" s="1141">
        <f>K187</f>
        <v>0</v>
      </c>
      <c r="L209" s="1324">
        <f t="shared" si="13"/>
        <v>15400</v>
      </c>
      <c r="M209" s="1462">
        <f>M187</f>
        <v>1.54</v>
      </c>
      <c r="N209" s="1462">
        <f>N187</f>
        <v>0</v>
      </c>
      <c r="O209" s="1440">
        <f t="shared" si="15"/>
        <v>1.54</v>
      </c>
      <c r="P209" s="22"/>
      <c r="Q209" s="56"/>
      <c r="R209" s="2516"/>
      <c r="S209" s="2516"/>
      <c r="T209" s="2516"/>
      <c r="U209" s="2516"/>
      <c r="V209" s="2516"/>
      <c r="W209" s="2523">
        <f t="shared" si="2"/>
        <v>15360</v>
      </c>
      <c r="X209" s="2538">
        <f>X187</f>
        <v>12800</v>
      </c>
      <c r="Y209" s="2516"/>
      <c r="Z209" s="2516"/>
    </row>
    <row r="210" spans="1:26" s="57" customFormat="1" ht="18.75">
      <c r="A210" s="32"/>
      <c r="B210" s="54"/>
      <c r="C210" s="1540" t="s">
        <v>613</v>
      </c>
      <c r="D210" s="17"/>
      <c r="E210" s="17"/>
      <c r="F210" s="46"/>
      <c r="G210" s="46"/>
      <c r="H210" s="46"/>
      <c r="I210" s="41" t="s">
        <v>594</v>
      </c>
      <c r="J210" s="1141">
        <f>J188</f>
        <v>5200</v>
      </c>
      <c r="K210" s="1141">
        <f>K188</f>
        <v>0</v>
      </c>
      <c r="L210" s="1324">
        <f t="shared" si="13"/>
        <v>5200</v>
      </c>
      <c r="M210" s="1462">
        <f>M188</f>
        <v>0.52</v>
      </c>
      <c r="N210" s="1462">
        <f>N188</f>
        <v>0</v>
      </c>
      <c r="O210" s="1440">
        <f t="shared" si="15"/>
        <v>0.52</v>
      </c>
      <c r="P210" s="22"/>
      <c r="Q210" s="56"/>
      <c r="R210" s="2516"/>
      <c r="S210" s="2516"/>
      <c r="T210" s="2516"/>
      <c r="U210" s="2516"/>
      <c r="V210" s="2516"/>
      <c r="W210" s="2523">
        <f t="shared" si="2"/>
        <v>5160</v>
      </c>
      <c r="X210" s="2538">
        <f>X188</f>
        <v>4300</v>
      </c>
      <c r="Y210" s="2516"/>
      <c r="Z210" s="2516"/>
    </row>
    <row r="211" spans="1:26" s="57" customFormat="1" ht="18.75">
      <c r="A211" s="32"/>
      <c r="B211" s="54"/>
      <c r="C211" s="21"/>
      <c r="D211" s="17"/>
      <c r="E211" s="17"/>
      <c r="F211" s="46"/>
      <c r="G211" s="46"/>
      <c r="H211" s="46"/>
      <c r="I211" s="41"/>
      <c r="J211" s="951"/>
      <c r="K211" s="951"/>
      <c r="L211" s="1324"/>
      <c r="M211" s="1462"/>
      <c r="N211" s="1462"/>
      <c r="O211" s="1440"/>
      <c r="P211" s="22"/>
      <c r="Q211" s="56"/>
      <c r="R211" s="2516"/>
      <c r="S211" s="2516"/>
      <c r="T211" s="2516"/>
      <c r="U211" s="2516"/>
      <c r="V211" s="2516"/>
      <c r="W211" s="2523">
        <f t="shared" si="2"/>
        <v>0</v>
      </c>
      <c r="X211" s="2538"/>
      <c r="Y211" s="2516"/>
      <c r="Z211" s="2516"/>
    </row>
    <row r="212" spans="1:26" s="57" customFormat="1" ht="18">
      <c r="A212" s="24" t="s">
        <v>607</v>
      </c>
      <c r="B212" s="54"/>
      <c r="C212" s="635" t="s">
        <v>603</v>
      </c>
      <c r="D212" s="35"/>
      <c r="E212" s="46"/>
      <c r="F212" s="46"/>
      <c r="G212" s="46"/>
      <c r="H212" s="46"/>
      <c r="I212" s="41"/>
      <c r="J212" s="951"/>
      <c r="K212" s="1328"/>
      <c r="L212" s="1327"/>
      <c r="M212" s="1462"/>
      <c r="N212" s="1465"/>
      <c r="O212" s="1441"/>
      <c r="P212" s="22"/>
      <c r="Q212" s="56"/>
      <c r="R212" s="2516"/>
      <c r="S212" s="2516"/>
      <c r="T212" s="2516"/>
      <c r="U212" s="2516"/>
      <c r="V212" s="2516"/>
      <c r="W212" s="2523">
        <f t="shared" si="2"/>
        <v>0</v>
      </c>
      <c r="X212" s="2538"/>
      <c r="Y212" s="2516"/>
      <c r="Z212" s="2516"/>
    </row>
    <row r="213" spans="1:26" s="57" customFormat="1" ht="18.75">
      <c r="A213" s="24"/>
      <c r="B213" s="54"/>
      <c r="C213" s="635" t="s">
        <v>604</v>
      </c>
      <c r="D213" s="35"/>
      <c r="E213" s="46"/>
      <c r="F213" s="46"/>
      <c r="G213" s="46"/>
      <c r="H213" s="46"/>
      <c r="I213" s="41"/>
      <c r="J213" s="951"/>
      <c r="K213" s="1336" t="s">
        <v>605</v>
      </c>
      <c r="L213" s="1337">
        <f>SUM(L215:L220)</f>
        <v>85100.02711700002</v>
      </c>
      <c r="M213" s="1462"/>
      <c r="N213" s="1469" t="s">
        <v>605</v>
      </c>
      <c r="O213" s="1448">
        <f>SUM(O215:O220)</f>
        <v>8.5188</v>
      </c>
      <c r="P213" s="22"/>
      <c r="Q213" s="56"/>
      <c r="R213" s="2516"/>
      <c r="S213" s="2516"/>
      <c r="T213" s="2516"/>
      <c r="U213" s="2516"/>
      <c r="V213" s="2516"/>
      <c r="W213" s="2523">
        <f t="shared" si="2"/>
        <v>0</v>
      </c>
      <c r="X213" s="2538"/>
      <c r="Y213" s="2516"/>
      <c r="Z213" s="2516"/>
    </row>
    <row r="214" spans="1:26" s="57" customFormat="1" ht="18">
      <c r="A214" s="24"/>
      <c r="B214" s="54"/>
      <c r="C214" s="1541" t="s">
        <v>606</v>
      </c>
      <c r="D214" s="17"/>
      <c r="E214" s="17"/>
      <c r="F214" s="46"/>
      <c r="G214" s="46"/>
      <c r="H214" s="46"/>
      <c r="I214" s="41"/>
      <c r="J214" s="951"/>
      <c r="K214" s="1328"/>
      <c r="L214" s="1327"/>
      <c r="M214" s="1462"/>
      <c r="N214" s="1465"/>
      <c r="O214" s="1441"/>
      <c r="P214" s="22"/>
      <c r="Q214" s="56"/>
      <c r="R214" s="2516"/>
      <c r="S214" s="2516"/>
      <c r="T214" s="2516"/>
      <c r="U214" s="2516"/>
      <c r="V214" s="2516"/>
      <c r="W214" s="2523">
        <f t="shared" si="2"/>
        <v>0</v>
      </c>
      <c r="X214" s="2538"/>
      <c r="Y214" s="2516"/>
      <c r="Z214" s="2516"/>
    </row>
    <row r="215" spans="1:26" s="675" customFormat="1" ht="18.75">
      <c r="A215" s="668"/>
      <c r="B215" s="669"/>
      <c r="C215" s="1542" t="s">
        <v>581</v>
      </c>
      <c r="D215" s="670"/>
      <c r="E215" s="670"/>
      <c r="F215" s="671"/>
      <c r="G215" s="671"/>
      <c r="H215" s="671"/>
      <c r="I215" s="672" t="s">
        <v>580</v>
      </c>
      <c r="J215" s="1142">
        <v>13000</v>
      </c>
      <c r="K215" s="1390">
        <f>'[1]Профы.'!$G$14</f>
        <v>0.00125</v>
      </c>
      <c r="L215" s="1338">
        <f aca="true" t="shared" si="17" ref="L215:L220">SUM(J215:K215)</f>
        <v>13000.00125</v>
      </c>
      <c r="M215" s="1462">
        <f aca="true" t="shared" si="18" ref="M215:M220">J215/10000</f>
        <v>1.3</v>
      </c>
      <c r="N215" s="1463">
        <f>K215</f>
        <v>0.00125</v>
      </c>
      <c r="O215" s="1440">
        <f aca="true" t="shared" si="19" ref="O215:O220">SUM(M215:N215)</f>
        <v>1.30125</v>
      </c>
      <c r="P215" s="673"/>
      <c r="Q215" s="674"/>
      <c r="R215" s="2516"/>
      <c r="S215" s="2516"/>
      <c r="T215" s="2516"/>
      <c r="U215" s="2516"/>
      <c r="V215" s="2516"/>
      <c r="W215" s="2523">
        <f aca="true" t="shared" si="20" ref="W215:W278">X215*1.2</f>
        <v>12960</v>
      </c>
      <c r="X215" s="2538">
        <v>10800</v>
      </c>
      <c r="Y215" s="2516"/>
      <c r="Z215" s="2516"/>
    </row>
    <row r="216" spans="1:26" s="57" customFormat="1" ht="18.75">
      <c r="A216" s="24"/>
      <c r="B216" s="54"/>
      <c r="C216" s="1540" t="s">
        <v>582</v>
      </c>
      <c r="D216" s="17"/>
      <c r="E216" s="17"/>
      <c r="F216" s="46"/>
      <c r="G216" s="46"/>
      <c r="H216" s="46"/>
      <c r="I216" s="41" t="s">
        <v>580</v>
      </c>
      <c r="J216" s="1141">
        <v>13900</v>
      </c>
      <c r="K216" s="1347">
        <f>K175</f>
        <v>0.0023</v>
      </c>
      <c r="L216" s="1324">
        <f t="shared" si="17"/>
        <v>13900.0023</v>
      </c>
      <c r="M216" s="1462">
        <f t="shared" si="18"/>
        <v>1.39</v>
      </c>
      <c r="N216" s="1463">
        <f>K216</f>
        <v>0.0023</v>
      </c>
      <c r="O216" s="1440">
        <f t="shared" si="19"/>
        <v>1.3922999999999999</v>
      </c>
      <c r="P216" s="22"/>
      <c r="Q216" s="56"/>
      <c r="R216" s="2516"/>
      <c r="S216" s="2516"/>
      <c r="T216" s="2516"/>
      <c r="U216" s="2516"/>
      <c r="V216" s="2516"/>
      <c r="W216" s="2523">
        <f t="shared" si="20"/>
        <v>13920</v>
      </c>
      <c r="X216" s="2538">
        <v>11600</v>
      </c>
      <c r="Y216" s="2516"/>
      <c r="Z216" s="2516"/>
    </row>
    <row r="217" spans="1:26" s="57" customFormat="1" ht="18.75">
      <c r="A217" s="24"/>
      <c r="B217" s="54"/>
      <c r="C217" s="1540" t="s">
        <v>583</v>
      </c>
      <c r="D217" s="17"/>
      <c r="E217" s="17"/>
      <c r="F217" s="46"/>
      <c r="G217" s="46"/>
      <c r="H217" s="46"/>
      <c r="I217" s="41" t="s">
        <v>580</v>
      </c>
      <c r="J217" s="1141">
        <v>12500</v>
      </c>
      <c r="K217" s="1394">
        <f>K176</f>
        <v>0.018317</v>
      </c>
      <c r="L217" s="1324">
        <f t="shared" si="17"/>
        <v>12500.018317</v>
      </c>
      <c r="M217" s="1462">
        <f t="shared" si="18"/>
        <v>1.25</v>
      </c>
      <c r="N217" s="1463">
        <f>K21</f>
        <v>0</v>
      </c>
      <c r="O217" s="1440">
        <f t="shared" si="19"/>
        <v>1.25</v>
      </c>
      <c r="P217" s="22"/>
      <c r="Q217" s="56"/>
      <c r="R217" s="2516"/>
      <c r="S217" s="2516"/>
      <c r="T217" s="2516"/>
      <c r="U217" s="2516"/>
      <c r="V217" s="2516"/>
      <c r="W217" s="2523">
        <f t="shared" si="20"/>
        <v>12480</v>
      </c>
      <c r="X217" s="2538">
        <v>10400</v>
      </c>
      <c r="Y217" s="2516"/>
      <c r="Z217" s="2516"/>
    </row>
    <row r="218" spans="1:26" s="57" customFormat="1" ht="18.75">
      <c r="A218" s="24"/>
      <c r="B218" s="54"/>
      <c r="C218" s="1540" t="s">
        <v>584</v>
      </c>
      <c r="D218" s="17"/>
      <c r="E218" s="17"/>
      <c r="F218" s="46"/>
      <c r="G218" s="46"/>
      <c r="H218" s="46"/>
      <c r="I218" s="41" t="s">
        <v>580</v>
      </c>
      <c r="J218" s="1141">
        <v>12600</v>
      </c>
      <c r="K218" s="1347">
        <f>K177</f>
        <v>0.00125</v>
      </c>
      <c r="L218" s="1324">
        <f t="shared" si="17"/>
        <v>12600.00125</v>
      </c>
      <c r="M218" s="1462">
        <f t="shared" si="18"/>
        <v>1.26</v>
      </c>
      <c r="N218" s="1463">
        <f>K218</f>
        <v>0.00125</v>
      </c>
      <c r="O218" s="1440">
        <f t="shared" si="19"/>
        <v>1.26125</v>
      </c>
      <c r="P218" s="22"/>
      <c r="Q218" s="56"/>
      <c r="R218" s="2516"/>
      <c r="S218" s="2516"/>
      <c r="T218" s="2516"/>
      <c r="U218" s="2516"/>
      <c r="V218" s="2516"/>
      <c r="W218" s="2523">
        <f t="shared" si="20"/>
        <v>12600</v>
      </c>
      <c r="X218" s="2538">
        <v>10500</v>
      </c>
      <c r="Y218" s="2516"/>
      <c r="Z218" s="2516"/>
    </row>
    <row r="219" spans="1:26" s="57" customFormat="1" ht="18.75">
      <c r="A219" s="24"/>
      <c r="B219" s="54"/>
      <c r="C219" s="1540" t="s">
        <v>587</v>
      </c>
      <c r="D219" s="17"/>
      <c r="E219" s="17"/>
      <c r="F219" s="46"/>
      <c r="G219" s="46"/>
      <c r="H219" s="46"/>
      <c r="I219" s="41" t="s">
        <v>580</v>
      </c>
      <c r="J219" s="1141">
        <v>16400</v>
      </c>
      <c r="K219" s="1347">
        <f>K180</f>
        <v>0.002</v>
      </c>
      <c r="L219" s="1324">
        <f t="shared" si="17"/>
        <v>16400.002</v>
      </c>
      <c r="M219" s="1462">
        <f t="shared" si="18"/>
        <v>1.64</v>
      </c>
      <c r="N219" s="1463">
        <f>K219</f>
        <v>0.002</v>
      </c>
      <c r="O219" s="1440">
        <f t="shared" si="19"/>
        <v>1.642</v>
      </c>
      <c r="P219" s="22"/>
      <c r="Q219" s="56"/>
      <c r="R219" s="2516"/>
      <c r="S219" s="2516"/>
      <c r="T219" s="2516"/>
      <c r="U219" s="2516"/>
      <c r="V219" s="2516"/>
      <c r="W219" s="2523">
        <f t="shared" si="20"/>
        <v>16440</v>
      </c>
      <c r="X219" s="2538">
        <v>13700</v>
      </c>
      <c r="Y219" s="2516"/>
      <c r="Z219" s="2516"/>
    </row>
    <row r="220" spans="1:26" s="57" customFormat="1" ht="18.75">
      <c r="A220" s="24"/>
      <c r="B220" s="54"/>
      <c r="C220" s="1540" t="s">
        <v>591</v>
      </c>
      <c r="D220" s="17"/>
      <c r="E220" s="17"/>
      <c r="F220" s="46"/>
      <c r="G220" s="46"/>
      <c r="H220" s="46"/>
      <c r="I220" s="41" t="s">
        <v>580</v>
      </c>
      <c r="J220" s="1141">
        <v>16700</v>
      </c>
      <c r="K220" s="1347">
        <f>K184</f>
        <v>0.002</v>
      </c>
      <c r="L220" s="1324">
        <f t="shared" si="17"/>
        <v>16700.002</v>
      </c>
      <c r="M220" s="1462">
        <f t="shared" si="18"/>
        <v>1.67</v>
      </c>
      <c r="N220" s="1463">
        <f>K220</f>
        <v>0.002</v>
      </c>
      <c r="O220" s="1440">
        <f t="shared" si="19"/>
        <v>1.672</v>
      </c>
      <c r="P220" s="22"/>
      <c r="Q220" s="56"/>
      <c r="R220" s="2516"/>
      <c r="S220" s="2516"/>
      <c r="T220" s="2516"/>
      <c r="U220" s="2516"/>
      <c r="V220" s="2516"/>
      <c r="W220" s="2523">
        <f t="shared" si="20"/>
        <v>16680</v>
      </c>
      <c r="X220" s="2538">
        <v>13900</v>
      </c>
      <c r="Y220" s="2516"/>
      <c r="Z220" s="2516"/>
    </row>
    <row r="221" spans="1:26" s="57" customFormat="1" ht="18">
      <c r="A221" s="32"/>
      <c r="B221" s="60"/>
      <c r="C221" s="46"/>
      <c r="D221" s="46"/>
      <c r="E221" s="46"/>
      <c r="F221" s="46"/>
      <c r="G221" s="46"/>
      <c r="H221" s="46"/>
      <c r="I221" s="41"/>
      <c r="J221" s="951"/>
      <c r="K221" s="1328"/>
      <c r="L221" s="1327"/>
      <c r="M221" s="1462"/>
      <c r="N221" s="1465"/>
      <c r="O221" s="1441"/>
      <c r="P221" s="22"/>
      <c r="Q221" s="56"/>
      <c r="R221" s="2516"/>
      <c r="S221" s="2516"/>
      <c r="T221" s="2516"/>
      <c r="U221" s="2516"/>
      <c r="V221" s="2516"/>
      <c r="W221" s="2523">
        <f t="shared" si="20"/>
        <v>0</v>
      </c>
      <c r="X221" s="2538"/>
      <c r="Y221" s="2516"/>
      <c r="Z221" s="2516"/>
    </row>
    <row r="222" spans="1:26" s="57" customFormat="1" ht="18.75">
      <c r="A222" s="24" t="s">
        <v>614</v>
      </c>
      <c r="B222" s="60"/>
      <c r="C222" s="635" t="s">
        <v>608</v>
      </c>
      <c r="D222" s="46"/>
      <c r="E222" s="46"/>
      <c r="F222" s="46"/>
      <c r="G222" s="46"/>
      <c r="H222" s="46"/>
      <c r="I222" s="41"/>
      <c r="J222" s="1155"/>
      <c r="K222" s="1336" t="s">
        <v>609</v>
      </c>
      <c r="L222" s="1337">
        <f>SUM(L226:L235)-L231</f>
        <v>122900.04461700002</v>
      </c>
      <c r="M222" s="1470"/>
      <c r="N222" s="1469" t="s">
        <v>609</v>
      </c>
      <c r="O222" s="1448">
        <f>SUM(O226:O235)-O231</f>
        <v>12.334617</v>
      </c>
      <c r="P222" s="22"/>
      <c r="Q222" s="56"/>
      <c r="R222" s="2516"/>
      <c r="S222" s="2516"/>
      <c r="T222" s="2539" t="s">
        <v>609</v>
      </c>
      <c r="U222" s="2516"/>
      <c r="V222" s="2516"/>
      <c r="W222" s="2523">
        <f t="shared" si="20"/>
        <v>0</v>
      </c>
      <c r="X222" s="2540"/>
      <c r="Y222" s="2516"/>
      <c r="Z222" s="2516"/>
    </row>
    <row r="223" spans="1:26" s="57" customFormat="1" ht="18.75">
      <c r="A223" s="24"/>
      <c r="B223" s="60"/>
      <c r="C223" s="635" t="s">
        <v>610</v>
      </c>
      <c r="D223" s="46"/>
      <c r="E223" s="46"/>
      <c r="F223" s="46"/>
      <c r="G223" s="46"/>
      <c r="H223" s="46"/>
      <c r="I223" s="41"/>
      <c r="J223" s="1155"/>
      <c r="K223" s="1336" t="s">
        <v>611</v>
      </c>
      <c r="L223" s="1337">
        <f>SUM(L226:L235)</f>
        <v>145201.76681700003</v>
      </c>
      <c r="M223" s="1470"/>
      <c r="N223" s="1469" t="s">
        <v>611</v>
      </c>
      <c r="O223" s="1448">
        <f>SUM(O226:O235)</f>
        <v>16.286817</v>
      </c>
      <c r="P223" s="22"/>
      <c r="Q223" s="56"/>
      <c r="R223" s="2516"/>
      <c r="S223" s="2516"/>
      <c r="T223" s="2539" t="s">
        <v>611</v>
      </c>
      <c r="U223" s="2516"/>
      <c r="V223" s="2516"/>
      <c r="W223" s="2523">
        <f t="shared" si="20"/>
        <v>0</v>
      </c>
      <c r="X223" s="2540"/>
      <c r="Y223" s="2516"/>
      <c r="Z223" s="2516"/>
    </row>
    <row r="224" spans="1:26" s="57" customFormat="1" ht="18">
      <c r="A224" s="24"/>
      <c r="B224" s="60"/>
      <c r="C224" s="635" t="s">
        <v>612</v>
      </c>
      <c r="D224" s="46"/>
      <c r="E224" s="46"/>
      <c r="F224" s="46"/>
      <c r="G224" s="46"/>
      <c r="H224" s="46"/>
      <c r="I224" s="61"/>
      <c r="J224" s="951"/>
      <c r="K224" s="1328"/>
      <c r="L224" s="1327"/>
      <c r="M224" s="1462"/>
      <c r="N224" s="1465"/>
      <c r="O224" s="1441"/>
      <c r="P224" s="22"/>
      <c r="Q224" s="56"/>
      <c r="R224" s="2516"/>
      <c r="S224" s="2516"/>
      <c r="T224" s="2516"/>
      <c r="U224" s="2516"/>
      <c r="V224" s="2516"/>
      <c r="W224" s="2523">
        <f t="shared" si="20"/>
        <v>0</v>
      </c>
      <c r="X224" s="2538"/>
      <c r="Y224" s="2516"/>
      <c r="Z224" s="2516"/>
    </row>
    <row r="225" spans="1:26" s="57" customFormat="1" ht="18">
      <c r="A225" s="24"/>
      <c r="B225" s="60"/>
      <c r="C225" s="1541" t="s">
        <v>606</v>
      </c>
      <c r="D225" s="17"/>
      <c r="E225" s="17"/>
      <c r="F225" s="46"/>
      <c r="G225" s="46"/>
      <c r="H225" s="46"/>
      <c r="I225" s="61"/>
      <c r="J225" s="951"/>
      <c r="K225" s="1328"/>
      <c r="L225" s="1327"/>
      <c r="M225" s="1462"/>
      <c r="N225" s="1465"/>
      <c r="O225" s="1441"/>
      <c r="P225" s="22"/>
      <c r="Q225" s="56"/>
      <c r="R225" s="2516"/>
      <c r="S225" s="2516"/>
      <c r="T225" s="2516"/>
      <c r="U225" s="2516"/>
      <c r="V225" s="2516"/>
      <c r="W225" s="2523">
        <f t="shared" si="20"/>
        <v>0</v>
      </c>
      <c r="X225" s="2538"/>
      <c r="Y225" s="2516"/>
      <c r="Z225" s="2516"/>
    </row>
    <row r="226" spans="1:26" s="57" customFormat="1" ht="18.75">
      <c r="A226" s="24"/>
      <c r="B226" s="60"/>
      <c r="C226" s="1540" t="s">
        <v>579</v>
      </c>
      <c r="D226" s="17"/>
      <c r="E226" s="17"/>
      <c r="F226" s="46"/>
      <c r="G226" s="46"/>
      <c r="H226" s="46"/>
      <c r="I226" s="41" t="s">
        <v>580</v>
      </c>
      <c r="J226" s="1141">
        <v>13600</v>
      </c>
      <c r="K226" s="1394">
        <f>K173</f>
        <v>0.0155</v>
      </c>
      <c r="L226" s="1324">
        <f aca="true" t="shared" si="21" ref="L226:L235">SUM(J226:K226)</f>
        <v>13600.0155</v>
      </c>
      <c r="M226" s="1462">
        <f>J226/10000</f>
        <v>1.36</v>
      </c>
      <c r="N226" s="2112">
        <f>K226</f>
        <v>0.0155</v>
      </c>
      <c r="O226" s="1440">
        <f aca="true" t="shared" si="22" ref="O226:O235">SUM(M226:N226)</f>
        <v>1.3755000000000002</v>
      </c>
      <c r="P226" s="22"/>
      <c r="Q226" s="56"/>
      <c r="R226" s="2516"/>
      <c r="S226" s="2516"/>
      <c r="T226" s="2516"/>
      <c r="U226" s="2516"/>
      <c r="V226" s="2516"/>
      <c r="W226" s="2523">
        <f t="shared" si="20"/>
        <v>13560</v>
      </c>
      <c r="X226" s="2538">
        <v>11300</v>
      </c>
      <c r="Y226" s="2516"/>
      <c r="Z226" s="2516"/>
    </row>
    <row r="227" spans="1:26" s="57" customFormat="1" ht="18.75">
      <c r="A227" s="24"/>
      <c r="B227" s="60"/>
      <c r="C227" s="1540" t="s">
        <v>581</v>
      </c>
      <c r="D227" s="17"/>
      <c r="E227" s="17"/>
      <c r="F227" s="46"/>
      <c r="G227" s="46"/>
      <c r="H227" s="46"/>
      <c r="I227" s="41" t="s">
        <v>580</v>
      </c>
      <c r="J227" s="1141">
        <f>J215</f>
        <v>13000</v>
      </c>
      <c r="K227" s="1394">
        <f>'[1]Профы.'!$G$14</f>
        <v>0.00125</v>
      </c>
      <c r="L227" s="1324">
        <f t="shared" si="21"/>
        <v>13000.00125</v>
      </c>
      <c r="M227" s="1462">
        <f>M215</f>
        <v>1.3</v>
      </c>
      <c r="N227" s="2115">
        <f>'[1]Профы.'!$G$14</f>
        <v>0.00125</v>
      </c>
      <c r="O227" s="1440">
        <f t="shared" si="22"/>
        <v>1.30125</v>
      </c>
      <c r="P227" s="22"/>
      <c r="Q227" s="56"/>
      <c r="R227" s="2516"/>
      <c r="S227" s="2516"/>
      <c r="T227" s="2516"/>
      <c r="U227" s="2516"/>
      <c r="V227" s="2516"/>
      <c r="W227" s="2523">
        <f t="shared" si="20"/>
        <v>12960</v>
      </c>
      <c r="X227" s="2538">
        <v>10800</v>
      </c>
      <c r="Y227" s="2516"/>
      <c r="Z227" s="2516"/>
    </row>
    <row r="228" spans="1:26" s="57" customFormat="1" ht="18.75">
      <c r="A228" s="24"/>
      <c r="B228" s="60"/>
      <c r="C228" s="1540" t="s">
        <v>582</v>
      </c>
      <c r="D228" s="17"/>
      <c r="E228" s="17"/>
      <c r="F228" s="46"/>
      <c r="G228" s="46"/>
      <c r="H228" s="46"/>
      <c r="I228" s="41" t="s">
        <v>580</v>
      </c>
      <c r="J228" s="1141">
        <f>J216</f>
        <v>13900</v>
      </c>
      <c r="K228" s="1347">
        <f>K175</f>
        <v>0.0023</v>
      </c>
      <c r="L228" s="1324">
        <f>SUM(J228:K228)</f>
        <v>13900.0023</v>
      </c>
      <c r="M228" s="1462">
        <f>M216</f>
        <v>1.39</v>
      </c>
      <c r="N228" s="2116">
        <f>N175</f>
        <v>0.0023</v>
      </c>
      <c r="O228" s="1440">
        <f t="shared" si="22"/>
        <v>1.3922999999999999</v>
      </c>
      <c r="P228" s="22"/>
      <c r="Q228" s="56"/>
      <c r="R228" s="2516"/>
      <c r="S228" s="2516"/>
      <c r="T228" s="2516"/>
      <c r="U228" s="2516"/>
      <c r="V228" s="2516"/>
      <c r="W228" s="2523">
        <f t="shared" si="20"/>
        <v>13920</v>
      </c>
      <c r="X228" s="2538">
        <v>11600</v>
      </c>
      <c r="Y228" s="2516"/>
      <c r="Z228" s="2516"/>
    </row>
    <row r="229" spans="1:26" s="57" customFormat="1" ht="18.75">
      <c r="A229" s="24"/>
      <c r="B229" s="60"/>
      <c r="C229" s="1540" t="s">
        <v>583</v>
      </c>
      <c r="D229" s="17"/>
      <c r="E229" s="17"/>
      <c r="F229" s="46"/>
      <c r="G229" s="46"/>
      <c r="H229" s="46"/>
      <c r="I229" s="41" t="s">
        <v>580</v>
      </c>
      <c r="J229" s="1141">
        <f>J217</f>
        <v>12500</v>
      </c>
      <c r="K229" s="1394">
        <f>K176</f>
        <v>0.018317</v>
      </c>
      <c r="L229" s="1324">
        <f t="shared" si="21"/>
        <v>12500.018317</v>
      </c>
      <c r="M229" s="1462">
        <f>M217</f>
        <v>1.25</v>
      </c>
      <c r="N229" s="1471">
        <f>N176</f>
        <v>0.018317</v>
      </c>
      <c r="O229" s="1440">
        <f t="shared" si="22"/>
        <v>1.268317</v>
      </c>
      <c r="P229" s="22"/>
      <c r="Q229" s="56"/>
      <c r="R229" s="2516"/>
      <c r="S229" s="2516"/>
      <c r="T229" s="2516"/>
      <c r="U229" s="2516"/>
      <c r="V229" s="2516"/>
      <c r="W229" s="2523">
        <f t="shared" si="20"/>
        <v>12480</v>
      </c>
      <c r="X229" s="2538">
        <v>10400</v>
      </c>
      <c r="Y229" s="2516"/>
      <c r="Z229" s="2516"/>
    </row>
    <row r="230" spans="1:26" s="57" customFormat="1" ht="18.75">
      <c r="A230" s="24"/>
      <c r="B230" s="60"/>
      <c r="C230" s="1540" t="s">
        <v>584</v>
      </c>
      <c r="D230" s="17"/>
      <c r="E230" s="17"/>
      <c r="F230" s="46"/>
      <c r="G230" s="46"/>
      <c r="H230" s="46"/>
      <c r="I230" s="41" t="s">
        <v>580</v>
      </c>
      <c r="J230" s="1141">
        <f>J218</f>
        <v>12600</v>
      </c>
      <c r="K230" s="1347">
        <f>'[1]Профы.'!$G$27</f>
        <v>0.00125</v>
      </c>
      <c r="L230" s="1324">
        <f t="shared" si="21"/>
        <v>12600.00125</v>
      </c>
      <c r="M230" s="1462">
        <f>M218</f>
        <v>1.26</v>
      </c>
      <c r="N230" s="2116">
        <f>'[1]Профы.'!$G$27</f>
        <v>0.00125</v>
      </c>
      <c r="O230" s="1440">
        <f t="shared" si="22"/>
        <v>1.26125</v>
      </c>
      <c r="P230" s="22"/>
      <c r="Q230" s="56"/>
      <c r="R230" s="2516"/>
      <c r="S230" s="2516"/>
      <c r="T230" s="2516"/>
      <c r="U230" s="2516"/>
      <c r="V230" s="2516"/>
      <c r="W230" s="2523">
        <f t="shared" si="20"/>
        <v>12600</v>
      </c>
      <c r="X230" s="2538">
        <v>10500</v>
      </c>
      <c r="Y230" s="2516"/>
      <c r="Z230" s="2516"/>
    </row>
    <row r="231" spans="1:26" s="57" customFormat="1" ht="18.75">
      <c r="A231" s="24"/>
      <c r="B231" s="60"/>
      <c r="C231" s="1540" t="s">
        <v>585</v>
      </c>
      <c r="D231" s="17"/>
      <c r="E231" s="17"/>
      <c r="F231" s="46"/>
      <c r="G231" s="46"/>
      <c r="H231" s="46"/>
      <c r="I231" s="41" t="s">
        <v>580</v>
      </c>
      <c r="J231" s="1141">
        <v>22300</v>
      </c>
      <c r="K231" s="1394">
        <f>K178</f>
        <v>1.7222</v>
      </c>
      <c r="L231" s="1324">
        <f t="shared" si="21"/>
        <v>22301.7222</v>
      </c>
      <c r="M231" s="1462">
        <f>J231/10000</f>
        <v>2.23</v>
      </c>
      <c r="N231" s="1463">
        <f>K231</f>
        <v>1.7222</v>
      </c>
      <c r="O231" s="1440">
        <f t="shared" si="22"/>
        <v>3.9522</v>
      </c>
      <c r="P231" s="22"/>
      <c r="Q231" s="56"/>
      <c r="R231" s="2516"/>
      <c r="S231" s="2516"/>
      <c r="T231" s="2516"/>
      <c r="U231" s="2516"/>
      <c r="V231" s="2516"/>
      <c r="W231" s="2523">
        <f t="shared" si="20"/>
        <v>22320</v>
      </c>
      <c r="X231" s="2538">
        <v>18600</v>
      </c>
      <c r="Y231" s="2516"/>
      <c r="Z231" s="2516"/>
    </row>
    <row r="232" spans="1:26" s="57" customFormat="1" ht="18.75">
      <c r="A232" s="24"/>
      <c r="B232" s="60"/>
      <c r="C232" s="1540" t="s">
        <v>587</v>
      </c>
      <c r="D232" s="17"/>
      <c r="E232" s="17"/>
      <c r="F232" s="46"/>
      <c r="G232" s="46"/>
      <c r="H232" s="46"/>
      <c r="I232" s="41" t="s">
        <v>580</v>
      </c>
      <c r="J232" s="1141">
        <f>J219</f>
        <v>16400</v>
      </c>
      <c r="K232" s="1347">
        <f>'[1]Профы.'!$G$46</f>
        <v>0.002</v>
      </c>
      <c r="L232" s="1324">
        <f>SUM(J232:K232)</f>
        <v>16400.002</v>
      </c>
      <c r="M232" s="1462">
        <f>M219</f>
        <v>1.64</v>
      </c>
      <c r="N232" s="2116">
        <f>'[1]Профы.'!$G$46</f>
        <v>0.002</v>
      </c>
      <c r="O232" s="1440">
        <f t="shared" si="22"/>
        <v>1.642</v>
      </c>
      <c r="P232" s="22"/>
      <c r="Q232" s="56"/>
      <c r="R232" s="2516"/>
      <c r="S232" s="2516"/>
      <c r="T232" s="2516"/>
      <c r="U232" s="2516"/>
      <c r="V232" s="2516"/>
      <c r="W232" s="2523">
        <f t="shared" si="20"/>
        <v>16440</v>
      </c>
      <c r="X232" s="2538">
        <v>13700</v>
      </c>
      <c r="Y232" s="2516"/>
      <c r="Z232" s="2516"/>
    </row>
    <row r="233" spans="1:26" s="57" customFormat="1" ht="18.75">
      <c r="A233" s="24"/>
      <c r="B233" s="60"/>
      <c r="C233" s="1540" t="s">
        <v>591</v>
      </c>
      <c r="D233" s="17"/>
      <c r="E233" s="17"/>
      <c r="F233" s="46"/>
      <c r="G233" s="46"/>
      <c r="H233" s="46"/>
      <c r="I233" s="41" t="s">
        <v>580</v>
      </c>
      <c r="J233" s="1141">
        <f>J220</f>
        <v>16700</v>
      </c>
      <c r="K233" s="1347">
        <f>'[1]Профы.'!$G$86</f>
        <v>0.002</v>
      </c>
      <c r="L233" s="1324">
        <f>SUM(J233:K233)</f>
        <v>16700.002</v>
      </c>
      <c r="M233" s="1462">
        <f>M220</f>
        <v>1.67</v>
      </c>
      <c r="N233" s="2116">
        <f>'[1]Профы.'!$G$86</f>
        <v>0.002</v>
      </c>
      <c r="O233" s="1440">
        <f t="shared" si="22"/>
        <v>1.672</v>
      </c>
      <c r="P233" s="22"/>
      <c r="Q233" s="56"/>
      <c r="R233" s="2516"/>
      <c r="S233" s="2516"/>
      <c r="T233" s="2516"/>
      <c r="U233" s="2516"/>
      <c r="V233" s="2516"/>
      <c r="W233" s="2523">
        <f t="shared" si="20"/>
        <v>16680</v>
      </c>
      <c r="X233" s="2538">
        <v>13900</v>
      </c>
      <c r="Y233" s="2516"/>
      <c r="Z233" s="2516"/>
    </row>
    <row r="234" spans="1:26" s="57" customFormat="1" ht="18.75">
      <c r="A234" s="24"/>
      <c r="B234" s="60"/>
      <c r="C234" s="126" t="s">
        <v>593</v>
      </c>
      <c r="D234" s="17"/>
      <c r="E234" s="17"/>
      <c r="F234" s="46"/>
      <c r="G234" s="46"/>
      <c r="H234" s="46"/>
      <c r="I234" s="41" t="s">
        <v>594</v>
      </c>
      <c r="J234" s="1141">
        <v>18100</v>
      </c>
      <c r="K234" s="1347">
        <f>K187</f>
        <v>0</v>
      </c>
      <c r="L234" s="1324">
        <f t="shared" si="21"/>
        <v>18100</v>
      </c>
      <c r="M234" s="1462">
        <f>J234/10000</f>
        <v>1.81</v>
      </c>
      <c r="N234" s="1463">
        <f>K234</f>
        <v>0</v>
      </c>
      <c r="O234" s="1440">
        <f t="shared" si="22"/>
        <v>1.81</v>
      </c>
      <c r="P234" s="22"/>
      <c r="Q234" s="56"/>
      <c r="R234" s="2516"/>
      <c r="S234" s="2516"/>
      <c r="T234" s="2516"/>
      <c r="U234" s="2516"/>
      <c r="V234" s="2516"/>
      <c r="W234" s="2523">
        <f t="shared" si="20"/>
        <v>18120</v>
      </c>
      <c r="X234" s="2538">
        <v>15100</v>
      </c>
      <c r="Y234" s="2516"/>
      <c r="Z234" s="2516"/>
    </row>
    <row r="235" spans="1:26" s="57" customFormat="1" ht="18.75">
      <c r="A235" s="24"/>
      <c r="B235" s="60"/>
      <c r="C235" s="1540" t="s">
        <v>613</v>
      </c>
      <c r="D235" s="17"/>
      <c r="E235" s="17"/>
      <c r="F235" s="46"/>
      <c r="G235" s="46"/>
      <c r="H235" s="46"/>
      <c r="I235" s="41" t="s">
        <v>594</v>
      </c>
      <c r="J235" s="1141">
        <v>6100</v>
      </c>
      <c r="K235" s="1347">
        <f>'[1]Профы.'!$G$100</f>
        <v>0.002</v>
      </c>
      <c r="L235" s="1324">
        <f t="shared" si="21"/>
        <v>6100.002</v>
      </c>
      <c r="M235" s="1462">
        <f>J235/10000</f>
        <v>0.61</v>
      </c>
      <c r="N235" s="1463">
        <f>K235</f>
        <v>0.002</v>
      </c>
      <c r="O235" s="1440">
        <f t="shared" si="22"/>
        <v>0.612</v>
      </c>
      <c r="P235" s="22"/>
      <c r="Q235" s="56"/>
      <c r="R235" s="2516"/>
      <c r="S235" s="2516"/>
      <c r="T235" s="2516"/>
      <c r="U235" s="2516"/>
      <c r="V235" s="2516"/>
      <c r="W235" s="2523">
        <f t="shared" si="20"/>
        <v>6120</v>
      </c>
      <c r="X235" s="2538">
        <v>5100</v>
      </c>
      <c r="Y235" s="2516"/>
      <c r="Z235" s="2516"/>
    </row>
    <row r="236" spans="1:26" s="57" customFormat="1" ht="18.75">
      <c r="A236" s="24"/>
      <c r="B236" s="60"/>
      <c r="C236" s="58"/>
      <c r="D236" s="46"/>
      <c r="E236" s="46"/>
      <c r="F236" s="46"/>
      <c r="G236" s="46"/>
      <c r="H236" s="46"/>
      <c r="I236" s="41"/>
      <c r="J236" s="951"/>
      <c r="K236" s="1331"/>
      <c r="L236" s="1324"/>
      <c r="M236" s="1462"/>
      <c r="N236" s="1465"/>
      <c r="O236" s="1440"/>
      <c r="P236" s="22"/>
      <c r="Q236" s="56"/>
      <c r="R236" s="2516"/>
      <c r="S236" s="2516"/>
      <c r="T236" s="2516"/>
      <c r="U236" s="2516"/>
      <c r="V236" s="2516"/>
      <c r="W236" s="2523">
        <f t="shared" si="20"/>
        <v>0</v>
      </c>
      <c r="X236" s="2538"/>
      <c r="Y236" s="2516"/>
      <c r="Z236" s="2516"/>
    </row>
    <row r="237" spans="1:26" s="57" customFormat="1" ht="18.75">
      <c r="A237" s="24" t="s">
        <v>354</v>
      </c>
      <c r="B237" s="60"/>
      <c r="C237" s="635" t="s">
        <v>615</v>
      </c>
      <c r="D237" s="46"/>
      <c r="E237" s="46"/>
      <c r="F237" s="46"/>
      <c r="G237" s="46"/>
      <c r="H237" s="46"/>
      <c r="I237" s="41"/>
      <c r="J237" s="951"/>
      <c r="K237" s="1336" t="s">
        <v>605</v>
      </c>
      <c r="L237" s="1337">
        <f>SUM(L239:L245)</f>
        <v>98700.042617</v>
      </c>
      <c r="M237" s="1462"/>
      <c r="N237" s="1469" t="s">
        <v>605</v>
      </c>
      <c r="O237" s="1448">
        <f>SUM(O239:O245)</f>
        <v>9.912617</v>
      </c>
      <c r="P237" s="22"/>
      <c r="Q237" s="56"/>
      <c r="R237" s="2516"/>
      <c r="S237" s="2516"/>
      <c r="T237" s="2516"/>
      <c r="U237" s="2516"/>
      <c r="V237" s="2516"/>
      <c r="W237" s="2523">
        <f t="shared" si="20"/>
        <v>0</v>
      </c>
      <c r="X237" s="2538"/>
      <c r="Y237" s="2516"/>
      <c r="Z237" s="2516"/>
    </row>
    <row r="238" spans="1:26" s="57" customFormat="1" ht="18">
      <c r="A238" s="32"/>
      <c r="B238" s="60"/>
      <c r="C238" s="1541" t="s">
        <v>606</v>
      </c>
      <c r="D238" s="17"/>
      <c r="E238" s="17"/>
      <c r="F238" s="46"/>
      <c r="G238" s="46"/>
      <c r="H238" s="46"/>
      <c r="I238" s="41"/>
      <c r="J238" s="951"/>
      <c r="K238" s="1328"/>
      <c r="L238" s="1327"/>
      <c r="M238" s="1462"/>
      <c r="N238" s="1465"/>
      <c r="O238" s="1441"/>
      <c r="P238" s="22"/>
      <c r="Q238" s="56"/>
      <c r="R238" s="2516"/>
      <c r="S238" s="2516"/>
      <c r="T238" s="2516"/>
      <c r="U238" s="2516"/>
      <c r="V238" s="2516"/>
      <c r="W238" s="2523">
        <f t="shared" si="20"/>
        <v>0</v>
      </c>
      <c r="X238" s="2538"/>
      <c r="Y238" s="2516"/>
      <c r="Z238" s="2516"/>
    </row>
    <row r="239" spans="1:26" s="57" customFormat="1" ht="18.75">
      <c r="A239" s="32"/>
      <c r="B239" s="60"/>
      <c r="C239" s="1540" t="s">
        <v>579</v>
      </c>
      <c r="D239" s="17"/>
      <c r="E239" s="17"/>
      <c r="F239" s="46"/>
      <c r="G239" s="46"/>
      <c r="H239" s="46"/>
      <c r="I239" s="41" t="s">
        <v>580</v>
      </c>
      <c r="J239" s="1141">
        <f>J226</f>
        <v>13600</v>
      </c>
      <c r="K239" s="1394">
        <f>K226</f>
        <v>0.0155</v>
      </c>
      <c r="L239" s="1324">
        <f aca="true" t="shared" si="23" ref="L239:L245">SUM(J239:K239)</f>
        <v>13600.0155</v>
      </c>
      <c r="M239" s="1462">
        <f>M226</f>
        <v>1.36</v>
      </c>
      <c r="N239" s="1471">
        <f>N226</f>
        <v>0.0155</v>
      </c>
      <c r="O239" s="1440">
        <f aca="true" t="shared" si="24" ref="O239:O245">SUM(M239:N239)</f>
        <v>1.3755000000000002</v>
      </c>
      <c r="P239" s="22"/>
      <c r="Q239" s="56"/>
      <c r="R239" s="2516"/>
      <c r="S239" s="2516"/>
      <c r="T239" s="2516"/>
      <c r="U239" s="2516"/>
      <c r="V239" s="2516"/>
      <c r="W239" s="2523">
        <f t="shared" si="20"/>
        <v>13560</v>
      </c>
      <c r="X239" s="2538">
        <f>X226</f>
        <v>11300</v>
      </c>
      <c r="Y239" s="2516"/>
      <c r="Z239" s="2516"/>
    </row>
    <row r="240" spans="1:26" s="57" customFormat="1" ht="18.75">
      <c r="A240" s="32"/>
      <c r="B240" s="60"/>
      <c r="C240" s="1540" t="s">
        <v>581</v>
      </c>
      <c r="D240" s="17"/>
      <c r="E240" s="17"/>
      <c r="F240" s="46"/>
      <c r="G240" s="46"/>
      <c r="H240" s="46"/>
      <c r="I240" s="41" t="s">
        <v>580</v>
      </c>
      <c r="J240" s="1141">
        <f>J227</f>
        <v>13000</v>
      </c>
      <c r="K240" s="1347">
        <f>'[1]Профы.'!$G$14</f>
        <v>0.00125</v>
      </c>
      <c r="L240" s="1324">
        <f t="shared" si="23"/>
        <v>13000.00125</v>
      </c>
      <c r="M240" s="1462">
        <f>M227</f>
        <v>1.3</v>
      </c>
      <c r="N240" s="2116">
        <f>'[1]Профы.'!$G$14</f>
        <v>0.00125</v>
      </c>
      <c r="O240" s="1440">
        <f t="shared" si="24"/>
        <v>1.30125</v>
      </c>
      <c r="P240" s="22"/>
      <c r="Q240" s="56"/>
      <c r="R240" s="2516"/>
      <c r="S240" s="2516"/>
      <c r="T240" s="2516"/>
      <c r="U240" s="2516"/>
      <c r="V240" s="2516"/>
      <c r="W240" s="2523">
        <f t="shared" si="20"/>
        <v>12960</v>
      </c>
      <c r="X240" s="2538">
        <f>X227</f>
        <v>10800</v>
      </c>
      <c r="Y240" s="2516"/>
      <c r="Z240" s="2516"/>
    </row>
    <row r="241" spans="1:26" s="57" customFormat="1" ht="18.75">
      <c r="A241" s="32"/>
      <c r="B241" s="60"/>
      <c r="C241" s="1540" t="s">
        <v>582</v>
      </c>
      <c r="D241" s="17"/>
      <c r="E241" s="17"/>
      <c r="F241" s="46"/>
      <c r="G241" s="46"/>
      <c r="H241" s="46"/>
      <c r="I241" s="41" t="s">
        <v>580</v>
      </c>
      <c r="J241" s="1141">
        <f>J228</f>
        <v>13900</v>
      </c>
      <c r="K241" s="1347">
        <f>'[1]Профы.'!$G$18</f>
        <v>0.0023</v>
      </c>
      <c r="L241" s="1324">
        <f t="shared" si="23"/>
        <v>13900.0023</v>
      </c>
      <c r="M241" s="1462">
        <f>M228</f>
        <v>1.39</v>
      </c>
      <c r="N241" s="2116">
        <f>'[1]Профы.'!$G$18</f>
        <v>0.0023</v>
      </c>
      <c r="O241" s="1440">
        <f t="shared" si="24"/>
        <v>1.3922999999999999</v>
      </c>
      <c r="P241" s="22"/>
      <c r="Q241" s="56"/>
      <c r="R241" s="2516"/>
      <c r="S241" s="2516"/>
      <c r="T241" s="2516"/>
      <c r="U241" s="2516"/>
      <c r="V241" s="2516"/>
      <c r="W241" s="2523">
        <f t="shared" si="20"/>
        <v>13920</v>
      </c>
      <c r="X241" s="2538">
        <f>X228</f>
        <v>11600</v>
      </c>
      <c r="Y241" s="2516"/>
      <c r="Z241" s="2516"/>
    </row>
    <row r="242" spans="1:26" s="57" customFormat="1" ht="18.75">
      <c r="A242" s="32"/>
      <c r="B242" s="60"/>
      <c r="C242" s="1540" t="s">
        <v>583</v>
      </c>
      <c r="D242" s="17"/>
      <c r="E242" s="17"/>
      <c r="F242" s="46"/>
      <c r="G242" s="46"/>
      <c r="H242" s="46"/>
      <c r="I242" s="41" t="s">
        <v>580</v>
      </c>
      <c r="J242" s="1141">
        <f>J229</f>
        <v>12500</v>
      </c>
      <c r="K242" s="1394">
        <f>K229</f>
        <v>0.018317</v>
      </c>
      <c r="L242" s="1324">
        <f t="shared" si="23"/>
        <v>12500.018317</v>
      </c>
      <c r="M242" s="1462">
        <f>M229</f>
        <v>1.25</v>
      </c>
      <c r="N242" s="1471">
        <f>N229</f>
        <v>0.018317</v>
      </c>
      <c r="O242" s="1440">
        <f t="shared" si="24"/>
        <v>1.268317</v>
      </c>
      <c r="P242" s="22"/>
      <c r="Q242" s="56"/>
      <c r="R242" s="2516"/>
      <c r="S242" s="2516"/>
      <c r="T242" s="2516"/>
      <c r="U242" s="2516"/>
      <c r="V242" s="2516"/>
      <c r="W242" s="2523">
        <f t="shared" si="20"/>
        <v>12480</v>
      </c>
      <c r="X242" s="2538">
        <f>X229</f>
        <v>10400</v>
      </c>
      <c r="Y242" s="2516"/>
      <c r="Z242" s="2516"/>
    </row>
    <row r="243" spans="1:26" s="57" customFormat="1" ht="18.75">
      <c r="A243" s="32"/>
      <c r="B243" s="60"/>
      <c r="C243" s="1540" t="s">
        <v>584</v>
      </c>
      <c r="D243" s="17"/>
      <c r="E243" s="17"/>
      <c r="F243" s="46"/>
      <c r="G243" s="46"/>
      <c r="H243" s="46"/>
      <c r="I243" s="41" t="s">
        <v>580</v>
      </c>
      <c r="J243" s="1141">
        <f>J230</f>
        <v>12600</v>
      </c>
      <c r="K243" s="1347">
        <f>'[1]Профы.'!$G$27</f>
        <v>0.00125</v>
      </c>
      <c r="L243" s="1324">
        <f t="shared" si="23"/>
        <v>12600.00125</v>
      </c>
      <c r="M243" s="1462">
        <f>M230</f>
        <v>1.26</v>
      </c>
      <c r="N243" s="1465">
        <f>'[1]Профы.'!$G$27</f>
        <v>0.00125</v>
      </c>
      <c r="O243" s="1440">
        <f t="shared" si="24"/>
        <v>1.26125</v>
      </c>
      <c r="P243" s="22"/>
      <c r="Q243" s="56"/>
      <c r="R243" s="2516"/>
      <c r="S243" s="2516"/>
      <c r="T243" s="2516"/>
      <c r="U243" s="2516"/>
      <c r="V243" s="2516"/>
      <c r="W243" s="2523">
        <f t="shared" si="20"/>
        <v>12600</v>
      </c>
      <c r="X243" s="2538">
        <f>X230</f>
        <v>10500</v>
      </c>
      <c r="Y243" s="2516"/>
      <c r="Z243" s="2516"/>
    </row>
    <row r="244" spans="1:26" s="57" customFormat="1" ht="18.75">
      <c r="A244" s="32"/>
      <c r="B244" s="60"/>
      <c r="C244" s="1540" t="s">
        <v>587</v>
      </c>
      <c r="D244" s="17"/>
      <c r="E244" s="17"/>
      <c r="F244" s="46"/>
      <c r="G244" s="46"/>
      <c r="H244" s="46"/>
      <c r="I244" s="41" t="s">
        <v>580</v>
      </c>
      <c r="J244" s="1141">
        <f>J232</f>
        <v>16400</v>
      </c>
      <c r="K244" s="1347">
        <f>'[1]Профы.'!$G$46</f>
        <v>0.002</v>
      </c>
      <c r="L244" s="1324">
        <f t="shared" si="23"/>
        <v>16400.002</v>
      </c>
      <c r="M244" s="1462">
        <f>M232</f>
        <v>1.64</v>
      </c>
      <c r="N244" s="1465">
        <f>'[1]Профы.'!$G$46</f>
        <v>0.002</v>
      </c>
      <c r="O244" s="1440">
        <f t="shared" si="24"/>
        <v>1.642</v>
      </c>
      <c r="P244" s="22"/>
      <c r="Q244" s="56"/>
      <c r="R244" s="2516"/>
      <c r="S244" s="2516"/>
      <c r="T244" s="2516"/>
      <c r="U244" s="2516"/>
      <c r="V244" s="2516"/>
      <c r="W244" s="2523">
        <f t="shared" si="20"/>
        <v>16440</v>
      </c>
      <c r="X244" s="2538">
        <f>X232</f>
        <v>13700</v>
      </c>
      <c r="Y244" s="2516"/>
      <c r="Z244" s="2516"/>
    </row>
    <row r="245" spans="1:26" s="57" customFormat="1" ht="18.75">
      <c r="A245" s="953"/>
      <c r="B245" s="954"/>
      <c r="C245" s="1543" t="s">
        <v>591</v>
      </c>
      <c r="D245" s="132"/>
      <c r="E245" s="132"/>
      <c r="F245" s="142"/>
      <c r="G245" s="142"/>
      <c r="H245" s="142"/>
      <c r="I245" s="715" t="s">
        <v>580</v>
      </c>
      <c r="J245" s="1181">
        <f>J233</f>
        <v>16700</v>
      </c>
      <c r="K245" s="1396">
        <f>'[1]Профы.'!$G$86</f>
        <v>0.002</v>
      </c>
      <c r="L245" s="1339">
        <f t="shared" si="23"/>
        <v>16700.002</v>
      </c>
      <c r="M245" s="1472">
        <f>M233</f>
        <v>1.67</v>
      </c>
      <c r="N245" s="1473">
        <f>'[1]Профы.'!$G$86</f>
        <v>0.002</v>
      </c>
      <c r="O245" s="1449">
        <f t="shared" si="24"/>
        <v>1.672</v>
      </c>
      <c r="P245" s="22"/>
      <c r="Q245" s="56"/>
      <c r="R245" s="2516"/>
      <c r="S245" s="2516"/>
      <c r="T245" s="2516"/>
      <c r="U245" s="2516"/>
      <c r="V245" s="2516"/>
      <c r="W245" s="2523">
        <f t="shared" si="20"/>
        <v>16680</v>
      </c>
      <c r="X245" s="2538">
        <f>X233</f>
        <v>13900</v>
      </c>
      <c r="Y245" s="2516"/>
      <c r="Z245" s="2516"/>
    </row>
    <row r="246" spans="1:26" s="57" customFormat="1" ht="18" hidden="1">
      <c r="A246" s="32"/>
      <c r="B246" s="60"/>
      <c r="C246" s="46"/>
      <c r="D246" s="46"/>
      <c r="E246" s="46"/>
      <c r="F246" s="46"/>
      <c r="G246" s="46"/>
      <c r="H246" s="46"/>
      <c r="I246" s="41"/>
      <c r="J246" s="1141"/>
      <c r="K246" s="1347"/>
      <c r="L246" s="1327"/>
      <c r="M246" s="1462"/>
      <c r="N246" s="1465"/>
      <c r="O246" s="1441"/>
      <c r="P246" s="22"/>
      <c r="Q246" s="56"/>
      <c r="R246" s="2516"/>
      <c r="S246" s="2516"/>
      <c r="T246" s="2516"/>
      <c r="U246" s="2516"/>
      <c r="V246" s="2516"/>
      <c r="W246" s="2523">
        <f t="shared" si="20"/>
        <v>0</v>
      </c>
      <c r="X246" s="2538"/>
      <c r="Y246" s="2516"/>
      <c r="Z246" s="2516"/>
    </row>
    <row r="247" spans="1:26" s="1154" customFormat="1" ht="18.75" hidden="1">
      <c r="A247" s="1148">
        <v>9</v>
      </c>
      <c r="B247" s="1149" t="s">
        <v>616</v>
      </c>
      <c r="C247" s="1150"/>
      <c r="D247" s="1151"/>
      <c r="E247" s="1151"/>
      <c r="F247" s="1151"/>
      <c r="G247" s="1151"/>
      <c r="H247" s="1151"/>
      <c r="I247" s="1152" t="s">
        <v>617</v>
      </c>
      <c r="J247" s="1141">
        <v>44050</v>
      </c>
      <c r="K247" s="1354">
        <v>0</v>
      </c>
      <c r="L247" s="1340">
        <f>SUM(J247:K247)</f>
        <v>44050</v>
      </c>
      <c r="M247" s="1462">
        <v>44050</v>
      </c>
      <c r="N247" s="1474">
        <v>0</v>
      </c>
      <c r="O247" s="1450">
        <f>SUM(M247:N247)</f>
        <v>44050</v>
      </c>
      <c r="P247" s="1153"/>
      <c r="Q247" s="1151"/>
      <c r="R247" s="2509"/>
      <c r="S247" s="2509"/>
      <c r="T247" s="2509"/>
      <c r="U247" s="2509"/>
      <c r="V247" s="2509"/>
      <c r="W247" s="2523">
        <f t="shared" si="20"/>
        <v>52860</v>
      </c>
      <c r="X247" s="2538">
        <v>44050</v>
      </c>
      <c r="Y247" s="2509"/>
      <c r="Z247" s="2509"/>
    </row>
    <row r="248" spans="1:26" s="1154" customFormat="1" ht="18.75" hidden="1">
      <c r="A248" s="1148"/>
      <c r="B248" s="1149" t="s">
        <v>618</v>
      </c>
      <c r="C248" s="1150"/>
      <c r="D248" s="1151"/>
      <c r="E248" s="1151"/>
      <c r="F248" s="1151"/>
      <c r="G248" s="1151"/>
      <c r="H248" s="1151"/>
      <c r="I248" s="1152"/>
      <c r="J248" s="1141"/>
      <c r="K248" s="1354"/>
      <c r="L248" s="1341"/>
      <c r="M248" s="1462"/>
      <c r="N248" s="1474"/>
      <c r="O248" s="1451"/>
      <c r="P248" s="1153"/>
      <c r="Q248" s="1151"/>
      <c r="R248" s="2509"/>
      <c r="S248" s="2509"/>
      <c r="T248" s="2509"/>
      <c r="U248" s="2509"/>
      <c r="V248" s="2509"/>
      <c r="W248" s="2523">
        <f t="shared" si="20"/>
        <v>0</v>
      </c>
      <c r="X248" s="2538"/>
      <c r="Y248" s="2509"/>
      <c r="Z248" s="2509"/>
    </row>
    <row r="249" spans="1:26" s="1154" customFormat="1" ht="18.75" hidden="1">
      <c r="A249" s="1148"/>
      <c r="B249" s="1149" t="s">
        <v>619</v>
      </c>
      <c r="C249" s="1150"/>
      <c r="D249" s="1151"/>
      <c r="E249" s="1151"/>
      <c r="F249" s="1151"/>
      <c r="G249" s="1151"/>
      <c r="H249" s="1151"/>
      <c r="I249" s="1152"/>
      <c r="J249" s="1141"/>
      <c r="K249" s="1354"/>
      <c r="L249" s="1341"/>
      <c r="M249" s="1462"/>
      <c r="N249" s="1474"/>
      <c r="O249" s="1451"/>
      <c r="P249" s="1153"/>
      <c r="Q249" s="1151"/>
      <c r="R249" s="2509"/>
      <c r="S249" s="2509"/>
      <c r="T249" s="2509"/>
      <c r="U249" s="2509"/>
      <c r="V249" s="2509"/>
      <c r="W249" s="2523">
        <f t="shared" si="20"/>
        <v>0</v>
      </c>
      <c r="X249" s="2538"/>
      <c r="Y249" s="2509"/>
      <c r="Z249" s="2509"/>
    </row>
    <row r="250" spans="1:24" ht="18" hidden="1">
      <c r="A250" s="936"/>
      <c r="B250" s="62"/>
      <c r="C250" s="35"/>
      <c r="I250" s="41"/>
      <c r="J250" s="1141"/>
      <c r="K250" s="1347"/>
      <c r="L250" s="1327"/>
      <c r="M250" s="1462"/>
      <c r="N250" s="1465"/>
      <c r="O250" s="1441"/>
      <c r="P250" s="23"/>
      <c r="W250" s="2523">
        <f t="shared" si="20"/>
        <v>0</v>
      </c>
      <c r="X250" s="2538"/>
    </row>
    <row r="251" spans="1:24" ht="18" hidden="1">
      <c r="A251" s="936"/>
      <c r="B251" s="62"/>
      <c r="C251" s="35"/>
      <c r="I251" s="41"/>
      <c r="J251" s="1141"/>
      <c r="K251" s="1347"/>
      <c r="L251" s="1327"/>
      <c r="M251" s="1462"/>
      <c r="N251" s="1465"/>
      <c r="O251" s="1441"/>
      <c r="P251" s="23"/>
      <c r="W251" s="2523">
        <f t="shared" si="20"/>
        <v>0</v>
      </c>
      <c r="X251" s="2538"/>
    </row>
    <row r="252" spans="1:24" ht="18" hidden="1">
      <c r="A252" s="936"/>
      <c r="B252" s="62"/>
      <c r="C252" s="35"/>
      <c r="I252" s="41"/>
      <c r="J252" s="1141"/>
      <c r="K252" s="1347"/>
      <c r="L252" s="1327"/>
      <c r="M252" s="1462"/>
      <c r="N252" s="1465"/>
      <c r="O252" s="1441"/>
      <c r="P252" s="23"/>
      <c r="W252" s="2523">
        <f t="shared" si="20"/>
        <v>0</v>
      </c>
      <c r="X252" s="2538"/>
    </row>
    <row r="253" spans="1:24" ht="18" hidden="1">
      <c r="A253" s="936"/>
      <c r="B253" s="62"/>
      <c r="C253" s="35"/>
      <c r="I253" s="41"/>
      <c r="J253" s="1141"/>
      <c r="K253" s="1347"/>
      <c r="L253" s="1327"/>
      <c r="M253" s="1462"/>
      <c r="N253" s="1465"/>
      <c r="O253" s="1441"/>
      <c r="P253" s="23"/>
      <c r="W253" s="2523">
        <f t="shared" si="20"/>
        <v>0</v>
      </c>
      <c r="X253" s="2538"/>
    </row>
    <row r="254" spans="1:24" ht="18.75">
      <c r="A254" s="29"/>
      <c r="B254" s="63"/>
      <c r="D254" s="1012"/>
      <c r="E254" s="1012"/>
      <c r="F254" s="1013" t="s">
        <v>620</v>
      </c>
      <c r="G254" s="1014"/>
      <c r="H254" s="1029"/>
      <c r="I254" s="41"/>
      <c r="J254" s="1141"/>
      <c r="K254" s="1347"/>
      <c r="L254" s="1327"/>
      <c r="M254" s="1462"/>
      <c r="N254" s="1465"/>
      <c r="O254" s="1441"/>
      <c r="P254" s="23"/>
      <c r="W254" s="2523">
        <f t="shared" si="20"/>
        <v>0</v>
      </c>
      <c r="X254" s="2538"/>
    </row>
    <row r="255" spans="1:24" ht="18">
      <c r="A255" s="29"/>
      <c r="B255" s="63"/>
      <c r="G255" s="64"/>
      <c r="I255" s="41"/>
      <c r="J255" s="1141"/>
      <c r="K255" s="1347"/>
      <c r="L255" s="1327"/>
      <c r="M255" s="1462"/>
      <c r="N255" s="1465"/>
      <c r="O255" s="1441"/>
      <c r="P255" s="23"/>
      <c r="W255" s="2523">
        <f t="shared" si="20"/>
        <v>0</v>
      </c>
      <c r="X255" s="2538"/>
    </row>
    <row r="256" spans="1:26" s="65" customFormat="1" ht="18">
      <c r="A256" s="1011">
        <v>10</v>
      </c>
      <c r="B256" s="107" t="s">
        <v>621</v>
      </c>
      <c r="C256" s="1012"/>
      <c r="D256" s="3"/>
      <c r="E256" s="3"/>
      <c r="F256" s="2"/>
      <c r="G256" s="2"/>
      <c r="H256" s="2"/>
      <c r="I256" s="41"/>
      <c r="J256" s="1141"/>
      <c r="K256" s="1347"/>
      <c r="L256" s="1326"/>
      <c r="M256" s="1462"/>
      <c r="N256" s="1465"/>
      <c r="O256" s="1442"/>
      <c r="P256" s="23"/>
      <c r="Q256" s="5"/>
      <c r="R256" s="2509"/>
      <c r="S256" s="2509"/>
      <c r="T256" s="2509"/>
      <c r="U256" s="2509"/>
      <c r="V256" s="2509"/>
      <c r="W256" s="2523">
        <f t="shared" si="20"/>
        <v>0</v>
      </c>
      <c r="X256" s="2538"/>
      <c r="Y256" s="2509"/>
      <c r="Z256" s="2509"/>
    </row>
    <row r="257" spans="1:24" ht="18">
      <c r="A257" s="15"/>
      <c r="B257" s="499" t="s">
        <v>622</v>
      </c>
      <c r="C257" s="501" t="s">
        <v>623</v>
      </c>
      <c r="D257" s="3"/>
      <c r="E257" s="3"/>
      <c r="I257" s="41"/>
      <c r="J257" s="1141"/>
      <c r="K257" s="1347"/>
      <c r="L257" s="1326"/>
      <c r="M257" s="1462"/>
      <c r="N257" s="1465"/>
      <c r="O257" s="1442"/>
      <c r="P257" s="23"/>
      <c r="W257" s="2523">
        <f t="shared" si="20"/>
        <v>0</v>
      </c>
      <c r="X257" s="2538"/>
    </row>
    <row r="258" spans="1:26" s="9" customFormat="1" ht="18.75">
      <c r="A258" s="11">
        <v>1</v>
      </c>
      <c r="B258" s="67"/>
      <c r="C258" s="1532" t="s">
        <v>624</v>
      </c>
      <c r="D258" s="3"/>
      <c r="E258" s="3"/>
      <c r="F258" s="48"/>
      <c r="G258" s="48"/>
      <c r="H258" s="10"/>
      <c r="I258" s="41" t="s">
        <v>573</v>
      </c>
      <c r="J258" s="1141">
        <v>30100</v>
      </c>
      <c r="K258" s="1395">
        <f>'[1]диагн.'!$G$12</f>
        <v>0.16</v>
      </c>
      <c r="L258" s="1324">
        <f>SUM(J258:K258)</f>
        <v>30100.16</v>
      </c>
      <c r="M258" s="1462">
        <f aca="true" t="shared" si="25" ref="M258:M293">J258/10000</f>
        <v>3.01</v>
      </c>
      <c r="N258" s="1463">
        <f aca="true" t="shared" si="26" ref="N258:N277">K258</f>
        <v>0.16</v>
      </c>
      <c r="O258" s="1440">
        <f aca="true" t="shared" si="27" ref="O258:O293">SUM(M258:N258)</f>
        <v>3.17</v>
      </c>
      <c r="P258" s="23"/>
      <c r="Q258" s="53"/>
      <c r="R258" s="2514">
        <f aca="true" t="shared" si="28" ref="R258:R293">J258*1.15</f>
        <v>34615</v>
      </c>
      <c r="S258" s="2516"/>
      <c r="T258" s="2516"/>
      <c r="U258" s="2516"/>
      <c r="V258" s="2516"/>
      <c r="W258" s="2523">
        <f t="shared" si="20"/>
        <v>30120</v>
      </c>
      <c r="X258" s="2538">
        <v>25100</v>
      </c>
      <c r="Y258" s="2516"/>
      <c r="Z258" s="2516"/>
    </row>
    <row r="259" spans="1:26" s="9" customFormat="1" ht="18.75">
      <c r="A259" s="11">
        <v>2</v>
      </c>
      <c r="B259" s="67"/>
      <c r="C259" s="1532" t="s">
        <v>625</v>
      </c>
      <c r="D259" s="3"/>
      <c r="E259" s="3"/>
      <c r="F259" s="48"/>
      <c r="G259" s="48" t="s">
        <v>626</v>
      </c>
      <c r="H259" s="10"/>
      <c r="I259" s="41" t="s">
        <v>573</v>
      </c>
      <c r="J259" s="1141">
        <v>30100</v>
      </c>
      <c r="K259" s="1395">
        <f>'[1]диагн.'!$G$20</f>
        <v>1.96765995</v>
      </c>
      <c r="L259" s="1324">
        <f aca="true" t="shared" si="29" ref="L259:L293">SUM(J259:K259)</f>
        <v>30101.96765995</v>
      </c>
      <c r="M259" s="1462">
        <f t="shared" si="25"/>
        <v>3.01</v>
      </c>
      <c r="N259" s="1463">
        <f t="shared" si="26"/>
        <v>1.96765995</v>
      </c>
      <c r="O259" s="1440">
        <f t="shared" si="27"/>
        <v>4.97765995</v>
      </c>
      <c r="P259" s="23"/>
      <c r="Q259" s="53"/>
      <c r="R259" s="2514">
        <f t="shared" si="28"/>
        <v>34615</v>
      </c>
      <c r="S259" s="2516"/>
      <c r="T259" s="2516"/>
      <c r="U259" s="2516"/>
      <c r="V259" s="2516"/>
      <c r="W259" s="2523">
        <f t="shared" si="20"/>
        <v>30120</v>
      </c>
      <c r="X259" s="2538">
        <v>25100</v>
      </c>
      <c r="Y259" s="2516"/>
      <c r="Z259" s="2516"/>
    </row>
    <row r="260" spans="1:26" s="9" customFormat="1" ht="18.75">
      <c r="A260" s="11"/>
      <c r="B260" s="67"/>
      <c r="C260" s="1532"/>
      <c r="D260" s="3"/>
      <c r="E260" s="3"/>
      <c r="F260" s="48"/>
      <c r="G260" s="48" t="s">
        <v>627</v>
      </c>
      <c r="H260" s="10"/>
      <c r="I260" s="41" t="s">
        <v>573</v>
      </c>
      <c r="J260" s="1141">
        <v>45100</v>
      </c>
      <c r="K260" s="1395">
        <f>'[1]диагн.'!$G$28</f>
        <v>3.7594799499999993</v>
      </c>
      <c r="L260" s="1324">
        <f t="shared" si="29"/>
        <v>45103.75947995</v>
      </c>
      <c r="M260" s="1462">
        <f t="shared" si="25"/>
        <v>4.51</v>
      </c>
      <c r="N260" s="1463">
        <f t="shared" si="26"/>
        <v>3.7594799499999993</v>
      </c>
      <c r="O260" s="1440">
        <f t="shared" si="27"/>
        <v>8.26947995</v>
      </c>
      <c r="P260" s="23"/>
      <c r="Q260" s="53"/>
      <c r="R260" s="2514">
        <f t="shared" si="28"/>
        <v>51864.99999999999</v>
      </c>
      <c r="S260" s="2516"/>
      <c r="T260" s="2516"/>
      <c r="U260" s="2516"/>
      <c r="V260" s="2516"/>
      <c r="W260" s="2523">
        <f t="shared" si="20"/>
        <v>45120</v>
      </c>
      <c r="X260" s="2538">
        <v>37600</v>
      </c>
      <c r="Y260" s="2516"/>
      <c r="Z260" s="2516"/>
    </row>
    <row r="261" spans="1:26" s="9" customFormat="1" ht="18.75">
      <c r="A261" s="11">
        <v>3</v>
      </c>
      <c r="B261" s="67"/>
      <c r="C261" s="1532" t="s">
        <v>628</v>
      </c>
      <c r="D261" s="3"/>
      <c r="E261" s="3"/>
      <c r="F261" s="48"/>
      <c r="G261" s="48" t="s">
        <v>629</v>
      </c>
      <c r="H261" s="10"/>
      <c r="I261" s="41" t="s">
        <v>573</v>
      </c>
      <c r="J261" s="1141">
        <v>45100</v>
      </c>
      <c r="K261" s="1395">
        <f>'[1]диагн.'!$G$43</f>
        <v>1.195892</v>
      </c>
      <c r="L261" s="1324">
        <f t="shared" si="29"/>
        <v>45101.195892</v>
      </c>
      <c r="M261" s="1462">
        <f t="shared" si="25"/>
        <v>4.51</v>
      </c>
      <c r="N261" s="1463">
        <f t="shared" si="26"/>
        <v>1.195892</v>
      </c>
      <c r="O261" s="1440">
        <f t="shared" si="27"/>
        <v>5.7058919999999995</v>
      </c>
      <c r="P261" s="23"/>
      <c r="Q261" s="53"/>
      <c r="R261" s="2514">
        <f t="shared" si="28"/>
        <v>51864.99999999999</v>
      </c>
      <c r="S261" s="2516"/>
      <c r="T261" s="2516"/>
      <c r="U261" s="2516"/>
      <c r="V261" s="2516"/>
      <c r="W261" s="2523">
        <f t="shared" si="20"/>
        <v>45120</v>
      </c>
      <c r="X261" s="2538">
        <v>37600</v>
      </c>
      <c r="Y261" s="2516"/>
      <c r="Z261" s="2516"/>
    </row>
    <row r="262" spans="1:26" s="9" customFormat="1" ht="18.75">
      <c r="A262" s="11"/>
      <c r="B262" s="67"/>
      <c r="C262" s="1532"/>
      <c r="D262" s="3"/>
      <c r="E262" s="3"/>
      <c r="F262" s="48"/>
      <c r="G262" s="48" t="s">
        <v>630</v>
      </c>
      <c r="H262" s="10"/>
      <c r="I262" s="41" t="s">
        <v>573</v>
      </c>
      <c r="J262" s="1141">
        <v>30100</v>
      </c>
      <c r="K262" s="1395">
        <f>'[1]диагн.'!$G$65</f>
        <v>1.195892</v>
      </c>
      <c r="L262" s="1324">
        <f t="shared" si="29"/>
        <v>30101.195892</v>
      </c>
      <c r="M262" s="1462">
        <f t="shared" si="25"/>
        <v>3.01</v>
      </c>
      <c r="N262" s="1463">
        <f t="shared" si="26"/>
        <v>1.195892</v>
      </c>
      <c r="O262" s="1440">
        <f t="shared" si="27"/>
        <v>4.2058919999999995</v>
      </c>
      <c r="P262" s="23"/>
      <c r="Q262" s="53"/>
      <c r="R262" s="2514">
        <f t="shared" si="28"/>
        <v>34615</v>
      </c>
      <c r="S262" s="2516"/>
      <c r="T262" s="2516"/>
      <c r="U262" s="2516"/>
      <c r="V262" s="2516"/>
      <c r="W262" s="2523">
        <f t="shared" si="20"/>
        <v>30120</v>
      </c>
      <c r="X262" s="2538">
        <v>25100</v>
      </c>
      <c r="Y262" s="2516"/>
      <c r="Z262" s="2516"/>
    </row>
    <row r="263" spans="1:26" s="9" customFormat="1" ht="18.75">
      <c r="A263" s="11">
        <v>4</v>
      </c>
      <c r="B263" s="67"/>
      <c r="C263" s="1532" t="s">
        <v>631</v>
      </c>
      <c r="D263" s="3"/>
      <c r="E263" s="3"/>
      <c r="F263" s="48"/>
      <c r="G263" s="48"/>
      <c r="H263" s="10"/>
      <c r="I263" s="41" t="s">
        <v>573</v>
      </c>
      <c r="J263" s="1141">
        <v>45100</v>
      </c>
      <c r="K263" s="1395">
        <f>'[1]диагн.'!$G$81</f>
        <v>6.52320625</v>
      </c>
      <c r="L263" s="1324">
        <f t="shared" si="29"/>
        <v>45106.52320625</v>
      </c>
      <c r="M263" s="1462">
        <f t="shared" si="25"/>
        <v>4.51</v>
      </c>
      <c r="N263" s="1463">
        <f t="shared" si="26"/>
        <v>6.52320625</v>
      </c>
      <c r="O263" s="1440">
        <f t="shared" si="27"/>
        <v>11.03320625</v>
      </c>
      <c r="P263" s="23"/>
      <c r="Q263" s="817">
        <f>L263-31000</f>
        <v>14106.52320625</v>
      </c>
      <c r="R263" s="2514">
        <f t="shared" si="28"/>
        <v>51864.99999999999</v>
      </c>
      <c r="S263" s="2516"/>
      <c r="T263" s="2516"/>
      <c r="U263" s="2516"/>
      <c r="V263" s="2516"/>
      <c r="W263" s="2523">
        <f t="shared" si="20"/>
        <v>45120</v>
      </c>
      <c r="X263" s="2538">
        <v>37600</v>
      </c>
      <c r="Y263" s="2516"/>
      <c r="Z263" s="2516"/>
    </row>
    <row r="264" spans="1:26" s="9" customFormat="1" ht="18.75">
      <c r="A264" s="11">
        <v>5</v>
      </c>
      <c r="B264" s="67"/>
      <c r="C264" s="1532" t="s">
        <v>632</v>
      </c>
      <c r="D264" s="3"/>
      <c r="E264" s="3"/>
      <c r="F264" s="48"/>
      <c r="G264" s="48"/>
      <c r="H264" s="10"/>
      <c r="I264" s="41" t="s">
        <v>573</v>
      </c>
      <c r="J264" s="1141">
        <v>30100</v>
      </c>
      <c r="K264" s="1395">
        <f>'[1]диагн.'!$G$88</f>
        <v>0.8245352</v>
      </c>
      <c r="L264" s="1324">
        <f t="shared" si="29"/>
        <v>30100.8245352</v>
      </c>
      <c r="M264" s="1462">
        <f t="shared" si="25"/>
        <v>3.01</v>
      </c>
      <c r="N264" s="1463">
        <f t="shared" si="26"/>
        <v>0.8245352</v>
      </c>
      <c r="O264" s="1440">
        <f t="shared" si="27"/>
        <v>3.8345352</v>
      </c>
      <c r="P264" s="23"/>
      <c r="Q264" s="53"/>
      <c r="R264" s="2514">
        <f t="shared" si="28"/>
        <v>34615</v>
      </c>
      <c r="S264" s="2516"/>
      <c r="T264" s="2516"/>
      <c r="U264" s="2516"/>
      <c r="V264" s="2516"/>
      <c r="W264" s="2523">
        <f t="shared" si="20"/>
        <v>30120</v>
      </c>
      <c r="X264" s="2538">
        <v>25100</v>
      </c>
      <c r="Y264" s="2516"/>
      <c r="Z264" s="2516"/>
    </row>
    <row r="265" spans="1:26" s="9" customFormat="1" ht="18.75">
      <c r="A265" s="11">
        <v>6</v>
      </c>
      <c r="B265" s="67"/>
      <c r="C265" s="1532" t="s">
        <v>633</v>
      </c>
      <c r="D265" s="3"/>
      <c r="E265" s="3"/>
      <c r="F265" s="48"/>
      <c r="G265" s="48" t="s">
        <v>626</v>
      </c>
      <c r="H265" s="10"/>
      <c r="I265" s="41" t="s">
        <v>573</v>
      </c>
      <c r="J265" s="1141">
        <v>9000</v>
      </c>
      <c r="K265" s="1395">
        <f>'[1]диагн.'!$G$96</f>
        <v>0.28824265</v>
      </c>
      <c r="L265" s="1324">
        <f t="shared" si="29"/>
        <v>9000.28824265</v>
      </c>
      <c r="M265" s="1462">
        <f t="shared" si="25"/>
        <v>0.9</v>
      </c>
      <c r="N265" s="1463">
        <f t="shared" si="26"/>
        <v>0.28824265</v>
      </c>
      <c r="O265" s="1440">
        <f t="shared" si="27"/>
        <v>1.18824265</v>
      </c>
      <c r="P265" s="23"/>
      <c r="Q265" s="53"/>
      <c r="R265" s="2514">
        <f t="shared" si="28"/>
        <v>10350</v>
      </c>
      <c r="S265" s="2516"/>
      <c r="T265" s="2516"/>
      <c r="U265" s="2516"/>
      <c r="V265" s="2516"/>
      <c r="W265" s="2523">
        <f t="shared" si="20"/>
        <v>9000</v>
      </c>
      <c r="X265" s="2538">
        <v>7500</v>
      </c>
      <c r="Y265" s="2516"/>
      <c r="Z265" s="2516"/>
    </row>
    <row r="266" spans="1:26" s="9" customFormat="1" ht="18.75">
      <c r="A266" s="11"/>
      <c r="B266" s="67"/>
      <c r="C266" s="1532"/>
      <c r="D266" s="3"/>
      <c r="E266" s="3"/>
      <c r="F266" s="48"/>
      <c r="G266" s="48" t="s">
        <v>627</v>
      </c>
      <c r="H266" s="10"/>
      <c r="I266" s="41" t="s">
        <v>573</v>
      </c>
      <c r="J266" s="1141">
        <v>15100</v>
      </c>
      <c r="K266" s="1395">
        <f>'[1]диагн.'!$G$103</f>
        <v>0.41648529999999995</v>
      </c>
      <c r="L266" s="1324">
        <f t="shared" si="29"/>
        <v>15100.4164853</v>
      </c>
      <c r="M266" s="1462">
        <f t="shared" si="25"/>
        <v>1.51</v>
      </c>
      <c r="N266" s="1463">
        <f t="shared" si="26"/>
        <v>0.41648529999999995</v>
      </c>
      <c r="O266" s="1440">
        <f t="shared" si="27"/>
        <v>1.9264853</v>
      </c>
      <c r="P266" s="23"/>
      <c r="Q266" s="53"/>
      <c r="R266" s="2514">
        <f t="shared" si="28"/>
        <v>17365</v>
      </c>
      <c r="S266" s="2516"/>
      <c r="T266" s="2516"/>
      <c r="U266" s="2516"/>
      <c r="V266" s="2516"/>
      <c r="W266" s="2523">
        <f t="shared" si="20"/>
        <v>15120</v>
      </c>
      <c r="X266" s="2538">
        <v>12600</v>
      </c>
      <c r="Y266" s="2516"/>
      <c r="Z266" s="2516"/>
    </row>
    <row r="267" spans="1:26" s="9" customFormat="1" ht="18.75">
      <c r="A267" s="11">
        <v>7</v>
      </c>
      <c r="B267" s="67"/>
      <c r="C267" s="1532" t="s">
        <v>634</v>
      </c>
      <c r="D267" s="3"/>
      <c r="E267" s="3"/>
      <c r="F267" s="48"/>
      <c r="G267" s="48" t="s">
        <v>626</v>
      </c>
      <c r="H267" s="10"/>
      <c r="I267" s="41" t="s">
        <v>573</v>
      </c>
      <c r="J267" s="1141">
        <v>12100</v>
      </c>
      <c r="K267" s="1395">
        <f>'[1]диагн.'!$G$111</f>
        <v>0.28824265</v>
      </c>
      <c r="L267" s="1324">
        <f t="shared" si="29"/>
        <v>12100.28824265</v>
      </c>
      <c r="M267" s="1462">
        <f t="shared" si="25"/>
        <v>1.21</v>
      </c>
      <c r="N267" s="1463">
        <f t="shared" si="26"/>
        <v>0.28824265</v>
      </c>
      <c r="O267" s="1440">
        <f t="shared" si="27"/>
        <v>1.49824265</v>
      </c>
      <c r="P267" s="23"/>
      <c r="Q267" s="53"/>
      <c r="R267" s="2514">
        <f t="shared" si="28"/>
        <v>13914.999999999998</v>
      </c>
      <c r="S267" s="2516"/>
      <c r="T267" s="2516"/>
      <c r="U267" s="2516"/>
      <c r="V267" s="2516"/>
      <c r="W267" s="2523">
        <f t="shared" si="20"/>
        <v>12120</v>
      </c>
      <c r="X267" s="2538">
        <v>10100</v>
      </c>
      <c r="Y267" s="2516"/>
      <c r="Z267" s="2516"/>
    </row>
    <row r="268" spans="1:26" s="9" customFormat="1" ht="18.75">
      <c r="A268" s="11"/>
      <c r="B268" s="67"/>
      <c r="C268" s="1532"/>
      <c r="D268" s="3"/>
      <c r="E268" s="3"/>
      <c r="F268" s="48"/>
      <c r="G268" s="48" t="s">
        <v>627</v>
      </c>
      <c r="H268" s="10"/>
      <c r="I268" s="41" t="s">
        <v>573</v>
      </c>
      <c r="J268" s="1141">
        <v>18100</v>
      </c>
      <c r="K268" s="1395">
        <f>'[1]диагн.'!$G$118</f>
        <v>0.41648529999999995</v>
      </c>
      <c r="L268" s="1324">
        <f t="shared" si="29"/>
        <v>18100.4164853</v>
      </c>
      <c r="M268" s="1462">
        <f t="shared" si="25"/>
        <v>1.81</v>
      </c>
      <c r="N268" s="1463">
        <f t="shared" si="26"/>
        <v>0.41648529999999995</v>
      </c>
      <c r="O268" s="1440">
        <f t="shared" si="27"/>
        <v>2.2264853000000002</v>
      </c>
      <c r="P268" s="23"/>
      <c r="Q268" s="53"/>
      <c r="R268" s="2514">
        <f t="shared" si="28"/>
        <v>20815</v>
      </c>
      <c r="S268" s="2516"/>
      <c r="T268" s="2516"/>
      <c r="U268" s="2516"/>
      <c r="V268" s="2516"/>
      <c r="W268" s="2523">
        <f t="shared" si="20"/>
        <v>18120</v>
      </c>
      <c r="X268" s="2538">
        <v>15100</v>
      </c>
      <c r="Y268" s="2516"/>
      <c r="Z268" s="2516"/>
    </row>
    <row r="269" spans="1:26" s="9" customFormat="1" ht="18.75">
      <c r="A269" s="11">
        <v>8</v>
      </c>
      <c r="B269" s="67"/>
      <c r="C269" s="1532" t="s">
        <v>635</v>
      </c>
      <c r="D269" s="3"/>
      <c r="E269" s="3"/>
      <c r="F269" s="48"/>
      <c r="G269" s="48"/>
      <c r="H269" s="10"/>
      <c r="I269" s="41" t="s">
        <v>573</v>
      </c>
      <c r="J269" s="1141">
        <v>2400</v>
      </c>
      <c r="K269" s="1385"/>
      <c r="L269" s="1324">
        <f t="shared" si="29"/>
        <v>2400</v>
      </c>
      <c r="M269" s="1462">
        <f t="shared" si="25"/>
        <v>0.24</v>
      </c>
      <c r="N269" s="1463">
        <f t="shared" si="26"/>
        <v>0</v>
      </c>
      <c r="O269" s="1440">
        <f t="shared" si="27"/>
        <v>0.24</v>
      </c>
      <c r="P269" s="23"/>
      <c r="Q269" s="53"/>
      <c r="R269" s="2514">
        <f t="shared" si="28"/>
        <v>2760</v>
      </c>
      <c r="S269" s="2516"/>
      <c r="T269" s="2516"/>
      <c r="U269" s="2516"/>
      <c r="V269" s="2516"/>
      <c r="W269" s="2523">
        <f t="shared" si="20"/>
        <v>2400</v>
      </c>
      <c r="X269" s="2538">
        <v>2000</v>
      </c>
      <c r="Y269" s="2516"/>
      <c r="Z269" s="2516"/>
    </row>
    <row r="270" spans="1:26" s="9" customFormat="1" ht="18.75">
      <c r="A270" s="11">
        <v>9</v>
      </c>
      <c r="B270" s="67"/>
      <c r="C270" s="1532" t="s">
        <v>636</v>
      </c>
      <c r="D270" s="3"/>
      <c r="E270" s="3"/>
      <c r="F270" s="48"/>
      <c r="G270" s="48"/>
      <c r="H270" s="10"/>
      <c r="I270" s="41" t="s">
        <v>573</v>
      </c>
      <c r="J270" s="1141">
        <v>30100</v>
      </c>
      <c r="K270" s="1395">
        <f>'[1]диагн.'!$G$124</f>
        <v>0.16</v>
      </c>
      <c r="L270" s="1324">
        <f t="shared" si="29"/>
        <v>30100.16</v>
      </c>
      <c r="M270" s="1462">
        <f t="shared" si="25"/>
        <v>3.01</v>
      </c>
      <c r="N270" s="1463">
        <f t="shared" si="26"/>
        <v>0.16</v>
      </c>
      <c r="O270" s="1440">
        <f t="shared" si="27"/>
        <v>3.17</v>
      </c>
      <c r="P270" s="23"/>
      <c r="Q270" s="53"/>
      <c r="R270" s="2514">
        <f t="shared" si="28"/>
        <v>34615</v>
      </c>
      <c r="S270" s="2516"/>
      <c r="T270" s="2516"/>
      <c r="U270" s="2516"/>
      <c r="V270" s="2516"/>
      <c r="W270" s="2523">
        <f t="shared" si="20"/>
        <v>30120</v>
      </c>
      <c r="X270" s="2538">
        <v>25100</v>
      </c>
      <c r="Y270" s="2516"/>
      <c r="Z270" s="2516"/>
    </row>
    <row r="271" spans="1:26" s="9" customFormat="1" ht="18.75">
      <c r="A271" s="11">
        <v>10</v>
      </c>
      <c r="B271" s="67"/>
      <c r="C271" s="1532" t="s">
        <v>637</v>
      </c>
      <c r="D271" s="3"/>
      <c r="E271" s="3"/>
      <c r="F271" s="48"/>
      <c r="G271" s="48"/>
      <c r="H271" s="10"/>
      <c r="I271" s="41" t="s">
        <v>573</v>
      </c>
      <c r="J271" s="1141">
        <v>45100</v>
      </c>
      <c r="K271" s="1395">
        <f>'[1]диагн.'!$G$131</f>
        <v>1.9445662499999998</v>
      </c>
      <c r="L271" s="1324">
        <f t="shared" si="29"/>
        <v>45101.94456625</v>
      </c>
      <c r="M271" s="1462">
        <f t="shared" si="25"/>
        <v>4.51</v>
      </c>
      <c r="N271" s="1463">
        <f t="shared" si="26"/>
        <v>1.9445662499999998</v>
      </c>
      <c r="O271" s="1440">
        <f t="shared" si="27"/>
        <v>6.454566249999999</v>
      </c>
      <c r="P271" s="23"/>
      <c r="Q271" s="53"/>
      <c r="R271" s="2514">
        <f t="shared" si="28"/>
        <v>51864.99999999999</v>
      </c>
      <c r="S271" s="2516"/>
      <c r="T271" s="2516"/>
      <c r="U271" s="2516"/>
      <c r="V271" s="2516"/>
      <c r="W271" s="2523">
        <f t="shared" si="20"/>
        <v>45120</v>
      </c>
      <c r="X271" s="2538">
        <v>37600</v>
      </c>
      <c r="Y271" s="2516"/>
      <c r="Z271" s="2516"/>
    </row>
    <row r="272" spans="1:26" s="9" customFormat="1" ht="18.75">
      <c r="A272" s="11">
        <v>11</v>
      </c>
      <c r="B272" s="67"/>
      <c r="C272" s="1532" t="s">
        <v>638</v>
      </c>
      <c r="D272" s="3"/>
      <c r="E272" s="3"/>
      <c r="F272" s="48"/>
      <c r="G272" s="48"/>
      <c r="H272" s="10"/>
      <c r="I272" s="41" t="s">
        <v>573</v>
      </c>
      <c r="J272" s="1141">
        <v>30100</v>
      </c>
      <c r="K272" s="1395">
        <f>'[1]диагн.'!$G$140</f>
        <v>5.123854400000001</v>
      </c>
      <c r="L272" s="1324">
        <f t="shared" si="29"/>
        <v>30105.1238544</v>
      </c>
      <c r="M272" s="1462">
        <f t="shared" si="25"/>
        <v>3.01</v>
      </c>
      <c r="N272" s="1463">
        <f t="shared" si="26"/>
        <v>5.123854400000001</v>
      </c>
      <c r="O272" s="1440">
        <f t="shared" si="27"/>
        <v>8.1338544</v>
      </c>
      <c r="P272" s="23"/>
      <c r="Q272" s="817">
        <f>L272-24650</f>
        <v>5455.123854400001</v>
      </c>
      <c r="R272" s="2514">
        <f t="shared" si="28"/>
        <v>34615</v>
      </c>
      <c r="S272" s="2516"/>
      <c r="T272" s="2516"/>
      <c r="U272" s="2516"/>
      <c r="V272" s="2516"/>
      <c r="W272" s="2523">
        <f t="shared" si="20"/>
        <v>30120</v>
      </c>
      <c r="X272" s="2538">
        <v>25100</v>
      </c>
      <c r="Y272" s="2516"/>
      <c r="Z272" s="2516"/>
    </row>
    <row r="273" spans="1:26" s="9" customFormat="1" ht="18.75">
      <c r="A273" s="11">
        <v>12</v>
      </c>
      <c r="B273" s="67"/>
      <c r="C273" s="1532" t="s">
        <v>639</v>
      </c>
      <c r="D273" s="3"/>
      <c r="E273" s="3"/>
      <c r="F273" s="48"/>
      <c r="G273" s="48"/>
      <c r="H273" s="10"/>
      <c r="I273" s="41" t="s">
        <v>573</v>
      </c>
      <c r="J273" s="1141">
        <v>60200</v>
      </c>
      <c r="K273" s="1395">
        <f>'[1]диагн.'!$G$149</f>
        <v>6.2153896</v>
      </c>
      <c r="L273" s="1324">
        <f t="shared" si="29"/>
        <v>60206.2153896</v>
      </c>
      <c r="M273" s="1462">
        <f t="shared" si="25"/>
        <v>6.02</v>
      </c>
      <c r="N273" s="1463">
        <f t="shared" si="26"/>
        <v>6.2153896</v>
      </c>
      <c r="O273" s="1440">
        <f t="shared" si="27"/>
        <v>12.2353896</v>
      </c>
      <c r="P273" s="23"/>
      <c r="Q273" s="817">
        <f>L273-34600</f>
        <v>25606.2153896</v>
      </c>
      <c r="R273" s="2514">
        <f t="shared" si="28"/>
        <v>69230</v>
      </c>
      <c r="S273" s="2516"/>
      <c r="T273" s="2516"/>
      <c r="U273" s="2516"/>
      <c r="V273" s="2516"/>
      <c r="W273" s="2523">
        <f t="shared" si="20"/>
        <v>60240</v>
      </c>
      <c r="X273" s="2538">
        <v>50200</v>
      </c>
      <c r="Y273" s="2516"/>
      <c r="Z273" s="2516"/>
    </row>
    <row r="274" spans="1:26" s="9" customFormat="1" ht="18.75">
      <c r="A274" s="11">
        <v>12</v>
      </c>
      <c r="B274" s="67"/>
      <c r="C274" s="1532" t="s">
        <v>640</v>
      </c>
      <c r="D274" s="3"/>
      <c r="E274" s="3"/>
      <c r="F274" s="48"/>
      <c r="G274" s="48" t="s">
        <v>626</v>
      </c>
      <c r="H274" s="10"/>
      <c r="I274" s="41" t="s">
        <v>573</v>
      </c>
      <c r="J274" s="1141">
        <v>30100</v>
      </c>
      <c r="K274" s="1395">
        <f>'[1]диагн.'!$G$187</f>
        <v>1.9518199999999999</v>
      </c>
      <c r="L274" s="1324">
        <f t="shared" si="29"/>
        <v>30101.95182</v>
      </c>
      <c r="M274" s="1462">
        <f t="shared" si="25"/>
        <v>3.01</v>
      </c>
      <c r="N274" s="1463">
        <f t="shared" si="26"/>
        <v>1.9518199999999999</v>
      </c>
      <c r="O274" s="1440">
        <f t="shared" si="27"/>
        <v>4.9618199999999995</v>
      </c>
      <c r="P274" s="23"/>
      <c r="Q274" s="53"/>
      <c r="R274" s="2514">
        <f t="shared" si="28"/>
        <v>34615</v>
      </c>
      <c r="S274" s="2516"/>
      <c r="T274" s="2516"/>
      <c r="U274" s="2516"/>
      <c r="V274" s="2516"/>
      <c r="W274" s="2523">
        <f t="shared" si="20"/>
        <v>30120</v>
      </c>
      <c r="X274" s="2538">
        <v>25100</v>
      </c>
      <c r="Y274" s="2516"/>
      <c r="Z274" s="2516"/>
    </row>
    <row r="275" spans="1:26" s="9" customFormat="1" ht="18.75">
      <c r="A275" s="11"/>
      <c r="B275" s="67"/>
      <c r="C275" s="1532"/>
      <c r="D275" s="3"/>
      <c r="E275" s="3"/>
      <c r="F275" s="48"/>
      <c r="G275" s="48" t="s">
        <v>627</v>
      </c>
      <c r="H275" s="10"/>
      <c r="I275" s="41" t="s">
        <v>573</v>
      </c>
      <c r="J275" s="1141">
        <v>45100</v>
      </c>
      <c r="K275" s="1395">
        <f>'[1]диагн.'!$G$187</f>
        <v>1.9518199999999999</v>
      </c>
      <c r="L275" s="1324">
        <f t="shared" si="29"/>
        <v>45101.95182</v>
      </c>
      <c r="M275" s="1462">
        <f t="shared" si="25"/>
        <v>4.51</v>
      </c>
      <c r="N275" s="1463">
        <f t="shared" si="26"/>
        <v>1.9518199999999999</v>
      </c>
      <c r="O275" s="1440">
        <f t="shared" si="27"/>
        <v>6.4618199999999995</v>
      </c>
      <c r="P275" s="23"/>
      <c r="Q275" s="53"/>
      <c r="R275" s="2514">
        <f t="shared" si="28"/>
        <v>51864.99999999999</v>
      </c>
      <c r="S275" s="2516"/>
      <c r="T275" s="2516"/>
      <c r="U275" s="2516"/>
      <c r="V275" s="2516"/>
      <c r="W275" s="2523">
        <f t="shared" si="20"/>
        <v>45120</v>
      </c>
      <c r="X275" s="2538">
        <v>37600</v>
      </c>
      <c r="Y275" s="2516"/>
      <c r="Z275" s="2516"/>
    </row>
    <row r="276" spans="1:26" s="9" customFormat="1" ht="18.75">
      <c r="A276" s="11">
        <v>13</v>
      </c>
      <c r="B276" s="67"/>
      <c r="C276" s="1532" t="s">
        <v>641</v>
      </c>
      <c r="D276" s="3"/>
      <c r="E276" s="3"/>
      <c r="F276" s="48"/>
      <c r="G276" s="48" t="s">
        <v>626</v>
      </c>
      <c r="H276" s="10"/>
      <c r="I276" s="41" t="s">
        <v>573</v>
      </c>
      <c r="J276" s="1141">
        <v>30100</v>
      </c>
      <c r="K276" s="1395">
        <f>'[1]диагн.'!$G$209</f>
        <v>1.195892</v>
      </c>
      <c r="L276" s="1324">
        <f>SUM(J276:K276)</f>
        <v>30101.195892</v>
      </c>
      <c r="M276" s="1462">
        <f t="shared" si="25"/>
        <v>3.01</v>
      </c>
      <c r="N276" s="1463">
        <f t="shared" si="26"/>
        <v>1.195892</v>
      </c>
      <c r="O276" s="1440">
        <f t="shared" si="27"/>
        <v>4.2058919999999995</v>
      </c>
      <c r="P276" s="23"/>
      <c r="Q276" s="53"/>
      <c r="R276" s="2514">
        <f t="shared" si="28"/>
        <v>34615</v>
      </c>
      <c r="S276" s="2516"/>
      <c r="T276" s="2516"/>
      <c r="U276" s="2516"/>
      <c r="V276" s="2516"/>
      <c r="W276" s="2523">
        <f t="shared" si="20"/>
        <v>30120</v>
      </c>
      <c r="X276" s="2538">
        <v>25100</v>
      </c>
      <c r="Y276" s="2516"/>
      <c r="Z276" s="2516"/>
    </row>
    <row r="277" spans="1:26" s="9" customFormat="1" ht="18.75">
      <c r="A277" s="11"/>
      <c r="B277" s="67"/>
      <c r="C277" s="1532"/>
      <c r="D277" s="3"/>
      <c r="E277" s="3"/>
      <c r="F277" s="48"/>
      <c r="G277" s="48" t="s">
        <v>627</v>
      </c>
      <c r="H277" s="10"/>
      <c r="I277" s="41" t="s">
        <v>573</v>
      </c>
      <c r="J277" s="1141">
        <v>45100</v>
      </c>
      <c r="K277" s="1395">
        <f>'[1]диагн.'!$G$223</f>
        <v>2.2317839999999998</v>
      </c>
      <c r="L277" s="1324">
        <f>SUM(J277:K277)</f>
        <v>45102.231784</v>
      </c>
      <c r="M277" s="1462">
        <f t="shared" si="25"/>
        <v>4.51</v>
      </c>
      <c r="N277" s="1463">
        <f t="shared" si="26"/>
        <v>2.2317839999999998</v>
      </c>
      <c r="O277" s="1440">
        <f t="shared" si="27"/>
        <v>6.741783999999999</v>
      </c>
      <c r="P277" s="23"/>
      <c r="Q277" s="53"/>
      <c r="R277" s="2514">
        <f t="shared" si="28"/>
        <v>51864.99999999999</v>
      </c>
      <c r="S277" s="2516"/>
      <c r="T277" s="2516"/>
      <c r="U277" s="2516"/>
      <c r="V277" s="2516"/>
      <c r="W277" s="2523">
        <f t="shared" si="20"/>
        <v>45120</v>
      </c>
      <c r="X277" s="2538">
        <v>37600</v>
      </c>
      <c r="Y277" s="2516"/>
      <c r="Z277" s="2516"/>
    </row>
    <row r="278" spans="1:26" s="9" customFormat="1" ht="18.75">
      <c r="A278" s="11">
        <v>14</v>
      </c>
      <c r="B278" s="67"/>
      <c r="C278" s="1532" t="s">
        <v>642</v>
      </c>
      <c r="D278" s="3"/>
      <c r="E278" s="3"/>
      <c r="F278" s="48"/>
      <c r="G278" s="48" t="s">
        <v>626</v>
      </c>
      <c r="H278" s="10"/>
      <c r="I278" s="41" t="s">
        <v>573</v>
      </c>
      <c r="J278" s="1141">
        <v>30100</v>
      </c>
      <c r="K278" s="1395">
        <f>'[1]диагн.'!$G$238</f>
        <v>1.195892</v>
      </c>
      <c r="L278" s="1324">
        <f t="shared" si="29"/>
        <v>30101.195892</v>
      </c>
      <c r="M278" s="1462">
        <f t="shared" si="25"/>
        <v>3.01</v>
      </c>
      <c r="N278" s="1463">
        <f aca="true" t="shared" si="30" ref="N278:N293">K278</f>
        <v>1.195892</v>
      </c>
      <c r="O278" s="1440">
        <f t="shared" si="27"/>
        <v>4.2058919999999995</v>
      </c>
      <c r="P278" s="23"/>
      <c r="Q278" s="53"/>
      <c r="R278" s="2514">
        <f t="shared" si="28"/>
        <v>34615</v>
      </c>
      <c r="S278" s="2516"/>
      <c r="T278" s="2516"/>
      <c r="U278" s="2516"/>
      <c r="V278" s="2516"/>
      <c r="W278" s="2523">
        <f t="shared" si="20"/>
        <v>30120</v>
      </c>
      <c r="X278" s="2538">
        <v>25100</v>
      </c>
      <c r="Y278" s="2516"/>
      <c r="Z278" s="2516"/>
    </row>
    <row r="279" spans="1:26" s="9" customFormat="1" ht="18.75">
      <c r="A279" s="11"/>
      <c r="B279" s="67"/>
      <c r="C279" s="1532"/>
      <c r="D279" s="3"/>
      <c r="E279" s="3"/>
      <c r="F279" s="48"/>
      <c r="G279" s="48" t="s">
        <v>627</v>
      </c>
      <c r="H279" s="10"/>
      <c r="I279" s="41" t="s">
        <v>573</v>
      </c>
      <c r="J279" s="1141">
        <v>45100</v>
      </c>
      <c r="K279" s="1395">
        <f>'[1]диагн.'!$G$245</f>
        <v>2.2317839999999998</v>
      </c>
      <c r="L279" s="1324">
        <f t="shared" si="29"/>
        <v>45102.231784</v>
      </c>
      <c r="M279" s="1462">
        <f t="shared" si="25"/>
        <v>4.51</v>
      </c>
      <c r="N279" s="1463">
        <f t="shared" si="30"/>
        <v>2.2317839999999998</v>
      </c>
      <c r="O279" s="1440">
        <f t="shared" si="27"/>
        <v>6.741783999999999</v>
      </c>
      <c r="P279" s="23"/>
      <c r="Q279" s="53"/>
      <c r="R279" s="2514">
        <f t="shared" si="28"/>
        <v>51864.99999999999</v>
      </c>
      <c r="S279" s="2516"/>
      <c r="T279" s="2516"/>
      <c r="U279" s="2516"/>
      <c r="V279" s="2516"/>
      <c r="W279" s="2523">
        <f aca="true" t="shared" si="31" ref="W279:W342">X279*1.2</f>
        <v>45120</v>
      </c>
      <c r="X279" s="2538">
        <v>37600</v>
      </c>
      <c r="Y279" s="2516"/>
      <c r="Z279" s="2516"/>
    </row>
    <row r="280" spans="1:26" s="9" customFormat="1" ht="18.75">
      <c r="A280" s="11">
        <v>15</v>
      </c>
      <c r="B280" s="67"/>
      <c r="C280" s="1532" t="s">
        <v>643</v>
      </c>
      <c r="D280" s="3"/>
      <c r="E280" s="3"/>
      <c r="F280" s="48"/>
      <c r="G280" s="48"/>
      <c r="H280" s="10"/>
      <c r="I280" s="41" t="s">
        <v>573</v>
      </c>
      <c r="J280" s="1141">
        <v>30100</v>
      </c>
      <c r="K280" s="1395">
        <f>'[1]диагн.'!$G$252</f>
        <v>0.5086649</v>
      </c>
      <c r="L280" s="1324">
        <f t="shared" si="29"/>
        <v>30100.5086649</v>
      </c>
      <c r="M280" s="1462">
        <f t="shared" si="25"/>
        <v>3.01</v>
      </c>
      <c r="N280" s="1463">
        <f t="shared" si="30"/>
        <v>0.5086649</v>
      </c>
      <c r="O280" s="1440">
        <f t="shared" si="27"/>
        <v>3.5186648999999997</v>
      </c>
      <c r="P280" s="23"/>
      <c r="Q280" s="53"/>
      <c r="R280" s="2514">
        <f t="shared" si="28"/>
        <v>34615</v>
      </c>
      <c r="S280" s="2516"/>
      <c r="T280" s="2516"/>
      <c r="U280" s="2516"/>
      <c r="V280" s="2516"/>
      <c r="W280" s="2523">
        <f t="shared" si="31"/>
        <v>30120</v>
      </c>
      <c r="X280" s="2538">
        <v>25100</v>
      </c>
      <c r="Y280" s="2516"/>
      <c r="Z280" s="2516"/>
    </row>
    <row r="281" spans="1:26" s="9" customFormat="1" ht="18.75">
      <c r="A281" s="11">
        <v>16</v>
      </c>
      <c r="B281" s="67"/>
      <c r="C281" s="1532" t="s">
        <v>644</v>
      </c>
      <c r="D281" s="3"/>
      <c r="E281" s="3"/>
      <c r="F281" s="48"/>
      <c r="G281" s="48"/>
      <c r="H281" s="10"/>
      <c r="I281" s="41" t="s">
        <v>573</v>
      </c>
      <c r="J281" s="1141">
        <v>45100</v>
      </c>
      <c r="K281" s="1395">
        <f>'[1]диагн.'!$G$259</f>
        <v>0.8245352</v>
      </c>
      <c r="L281" s="1324">
        <f t="shared" si="29"/>
        <v>45100.8245352</v>
      </c>
      <c r="M281" s="1462">
        <f t="shared" si="25"/>
        <v>4.51</v>
      </c>
      <c r="N281" s="1463">
        <f t="shared" si="30"/>
        <v>0.8245352</v>
      </c>
      <c r="O281" s="1440">
        <f t="shared" si="27"/>
        <v>5.3345351999999995</v>
      </c>
      <c r="P281" s="23"/>
      <c r="Q281" s="53"/>
      <c r="R281" s="2514">
        <f t="shared" si="28"/>
        <v>51864.99999999999</v>
      </c>
      <c r="S281" s="2516"/>
      <c r="T281" s="2516"/>
      <c r="U281" s="2516"/>
      <c r="V281" s="2516"/>
      <c r="W281" s="2523">
        <f t="shared" si="31"/>
        <v>45120</v>
      </c>
      <c r="X281" s="2538">
        <v>37600</v>
      </c>
      <c r="Y281" s="2516"/>
      <c r="Z281" s="2516"/>
    </row>
    <row r="282" spans="1:26" s="9" customFormat="1" ht="18.75">
      <c r="A282" s="11">
        <v>17</v>
      </c>
      <c r="B282" s="67"/>
      <c r="C282" s="1532" t="s">
        <v>645</v>
      </c>
      <c r="D282" s="3"/>
      <c r="E282" s="3"/>
      <c r="F282" s="48"/>
      <c r="G282" s="48"/>
      <c r="H282" s="10"/>
      <c r="I282" s="41" t="s">
        <v>573</v>
      </c>
      <c r="J282" s="1141">
        <v>45100</v>
      </c>
      <c r="K282" s="1395">
        <f>'[1]диагн.'!$G$266</f>
        <v>0.8245352</v>
      </c>
      <c r="L282" s="1324">
        <f t="shared" si="29"/>
        <v>45100.8245352</v>
      </c>
      <c r="M282" s="1462">
        <f t="shared" si="25"/>
        <v>4.51</v>
      </c>
      <c r="N282" s="1463">
        <f t="shared" si="30"/>
        <v>0.8245352</v>
      </c>
      <c r="O282" s="1440">
        <f t="shared" si="27"/>
        <v>5.3345351999999995</v>
      </c>
      <c r="P282" s="23"/>
      <c r="Q282" s="53"/>
      <c r="R282" s="2514">
        <f t="shared" si="28"/>
        <v>51864.99999999999</v>
      </c>
      <c r="S282" s="2516"/>
      <c r="T282" s="2516"/>
      <c r="U282" s="2516"/>
      <c r="V282" s="2516"/>
      <c r="W282" s="2523">
        <f t="shared" si="31"/>
        <v>45120</v>
      </c>
      <c r="X282" s="2538">
        <v>37600</v>
      </c>
      <c r="Y282" s="2516"/>
      <c r="Z282" s="2516"/>
    </row>
    <row r="283" spans="1:26" s="9" customFormat="1" ht="18.75">
      <c r="A283" s="11">
        <v>18</v>
      </c>
      <c r="B283" s="67"/>
      <c r="C283" s="1532" t="s">
        <v>646</v>
      </c>
      <c r="D283" s="3"/>
      <c r="E283" s="3"/>
      <c r="F283" s="48"/>
      <c r="G283" s="48"/>
      <c r="H283" s="10"/>
      <c r="I283" s="41" t="s">
        <v>573</v>
      </c>
      <c r="J283" s="1141">
        <v>30100</v>
      </c>
      <c r="K283" s="1395">
        <f>'[1]диагн.'!$G$273</f>
        <v>0.5086649</v>
      </c>
      <c r="L283" s="1324">
        <f t="shared" si="29"/>
        <v>30100.5086649</v>
      </c>
      <c r="M283" s="1462">
        <f t="shared" si="25"/>
        <v>3.01</v>
      </c>
      <c r="N283" s="1463">
        <f t="shared" si="30"/>
        <v>0.5086649</v>
      </c>
      <c r="O283" s="1440">
        <f t="shared" si="27"/>
        <v>3.5186648999999997</v>
      </c>
      <c r="P283" s="23"/>
      <c r="Q283" s="53"/>
      <c r="R283" s="2514">
        <f t="shared" si="28"/>
        <v>34615</v>
      </c>
      <c r="S283" s="2516"/>
      <c r="T283" s="2516"/>
      <c r="U283" s="2516"/>
      <c r="V283" s="2516"/>
      <c r="W283" s="2523">
        <f t="shared" si="31"/>
        <v>30120</v>
      </c>
      <c r="X283" s="2538">
        <v>25100</v>
      </c>
      <c r="Y283" s="2516"/>
      <c r="Z283" s="2516"/>
    </row>
    <row r="284" spans="1:26" s="9" customFormat="1" ht="18.75">
      <c r="A284" s="11">
        <v>19</v>
      </c>
      <c r="B284" s="67"/>
      <c r="C284" s="1532" t="s">
        <v>647</v>
      </c>
      <c r="D284" s="3"/>
      <c r="E284" s="3"/>
      <c r="F284" s="48"/>
      <c r="G284" s="48"/>
      <c r="H284" s="10"/>
      <c r="I284" s="41" t="s">
        <v>573</v>
      </c>
      <c r="J284" s="1141">
        <v>45100</v>
      </c>
      <c r="K284" s="1395">
        <f>'[1]диагн.'!$G$280</f>
        <v>0.8245352</v>
      </c>
      <c r="L284" s="1324">
        <f t="shared" si="29"/>
        <v>45100.8245352</v>
      </c>
      <c r="M284" s="1462">
        <f t="shared" si="25"/>
        <v>4.51</v>
      </c>
      <c r="N284" s="1463">
        <f t="shared" si="30"/>
        <v>0.8245352</v>
      </c>
      <c r="O284" s="1440">
        <f t="shared" si="27"/>
        <v>5.3345351999999995</v>
      </c>
      <c r="P284" s="23"/>
      <c r="Q284" s="53"/>
      <c r="R284" s="2514">
        <f t="shared" si="28"/>
        <v>51864.99999999999</v>
      </c>
      <c r="S284" s="2516"/>
      <c r="T284" s="2516"/>
      <c r="U284" s="2516"/>
      <c r="V284" s="2516"/>
      <c r="W284" s="2523">
        <f t="shared" si="31"/>
        <v>45120</v>
      </c>
      <c r="X284" s="2538">
        <v>37600</v>
      </c>
      <c r="Y284" s="2516"/>
      <c r="Z284" s="2516"/>
    </row>
    <row r="285" spans="1:26" s="9" customFormat="1" ht="18.75">
      <c r="A285" s="11">
        <v>20</v>
      </c>
      <c r="B285" s="67"/>
      <c r="C285" s="1532" t="s">
        <v>648</v>
      </c>
      <c r="D285" s="3"/>
      <c r="E285" s="3"/>
      <c r="F285" s="48"/>
      <c r="G285" s="48"/>
      <c r="H285" s="10"/>
      <c r="I285" s="41" t="s">
        <v>573</v>
      </c>
      <c r="J285" s="1141">
        <v>30100</v>
      </c>
      <c r="K285" s="1395">
        <f>'[1]диагн.'!$G$287</f>
        <v>0.8245352</v>
      </c>
      <c r="L285" s="1324">
        <f t="shared" si="29"/>
        <v>30100.8245352</v>
      </c>
      <c r="M285" s="1462">
        <f t="shared" si="25"/>
        <v>3.01</v>
      </c>
      <c r="N285" s="1463">
        <f t="shared" si="30"/>
        <v>0.8245352</v>
      </c>
      <c r="O285" s="1440">
        <f t="shared" si="27"/>
        <v>3.8345352</v>
      </c>
      <c r="P285" s="23"/>
      <c r="Q285" s="53"/>
      <c r="R285" s="2514">
        <f t="shared" si="28"/>
        <v>34615</v>
      </c>
      <c r="S285" s="2516"/>
      <c r="T285" s="2516"/>
      <c r="U285" s="2516"/>
      <c r="V285" s="2516"/>
      <c r="W285" s="2523">
        <f t="shared" si="31"/>
        <v>30120</v>
      </c>
      <c r="X285" s="2538">
        <v>25100</v>
      </c>
      <c r="Y285" s="2516"/>
      <c r="Z285" s="2516"/>
    </row>
    <row r="286" spans="1:26" s="9" customFormat="1" ht="18.75">
      <c r="A286" s="11">
        <v>21</v>
      </c>
      <c r="B286" s="67"/>
      <c r="C286" s="1532" t="s">
        <v>649</v>
      </c>
      <c r="D286" s="3"/>
      <c r="E286" s="3"/>
      <c r="F286" s="48"/>
      <c r="G286" s="48"/>
      <c r="H286" s="10"/>
      <c r="I286" s="41" t="s">
        <v>573</v>
      </c>
      <c r="J286" s="1141">
        <v>45100</v>
      </c>
      <c r="K286" s="1395">
        <f>'[1]диагн.'!$G$294</f>
        <v>2.2317839999999998</v>
      </c>
      <c r="L286" s="1324">
        <f t="shared" si="29"/>
        <v>45102.231784</v>
      </c>
      <c r="M286" s="1462">
        <f t="shared" si="25"/>
        <v>4.51</v>
      </c>
      <c r="N286" s="1463">
        <f t="shared" si="30"/>
        <v>2.2317839999999998</v>
      </c>
      <c r="O286" s="1440">
        <f t="shared" si="27"/>
        <v>6.741783999999999</v>
      </c>
      <c r="P286" s="23"/>
      <c r="Q286" s="53"/>
      <c r="R286" s="2514">
        <f t="shared" si="28"/>
        <v>51864.99999999999</v>
      </c>
      <c r="S286" s="2516"/>
      <c r="T286" s="2516"/>
      <c r="U286" s="2516"/>
      <c r="V286" s="2516"/>
      <c r="W286" s="2523">
        <f t="shared" si="31"/>
        <v>45120</v>
      </c>
      <c r="X286" s="2538">
        <v>37600</v>
      </c>
      <c r="Y286" s="2516"/>
      <c r="Z286" s="2516"/>
    </row>
    <row r="287" spans="1:26" s="9" customFormat="1" ht="18.75">
      <c r="A287" s="11">
        <v>22</v>
      </c>
      <c r="B287" s="67"/>
      <c r="C287" s="1532" t="s">
        <v>650</v>
      </c>
      <c r="D287" s="3"/>
      <c r="E287" s="3"/>
      <c r="F287" s="48"/>
      <c r="G287" s="48"/>
      <c r="H287" s="10"/>
      <c r="I287" s="41" t="s">
        <v>573</v>
      </c>
      <c r="J287" s="1141">
        <v>45100</v>
      </c>
      <c r="K287" s="1395">
        <f>'[1]диагн.'!$G$301</f>
        <v>1.195892</v>
      </c>
      <c r="L287" s="1324">
        <f t="shared" si="29"/>
        <v>45101.195892</v>
      </c>
      <c r="M287" s="1462">
        <f t="shared" si="25"/>
        <v>4.51</v>
      </c>
      <c r="N287" s="1463">
        <f t="shared" si="30"/>
        <v>1.195892</v>
      </c>
      <c r="O287" s="1440">
        <f t="shared" si="27"/>
        <v>5.7058919999999995</v>
      </c>
      <c r="P287" s="23"/>
      <c r="Q287" s="53"/>
      <c r="R287" s="2514">
        <f t="shared" si="28"/>
        <v>51864.99999999999</v>
      </c>
      <c r="S287" s="2516"/>
      <c r="T287" s="2516"/>
      <c r="U287" s="2516"/>
      <c r="V287" s="2516"/>
      <c r="W287" s="2523">
        <f t="shared" si="31"/>
        <v>45120</v>
      </c>
      <c r="X287" s="2538">
        <v>37600</v>
      </c>
      <c r="Y287" s="2516"/>
      <c r="Z287" s="2516"/>
    </row>
    <row r="288" spans="1:26" s="9" customFormat="1" ht="18.75">
      <c r="A288" s="11">
        <v>23</v>
      </c>
      <c r="B288" s="67"/>
      <c r="C288" s="1532" t="s">
        <v>651</v>
      </c>
      <c r="D288" s="3"/>
      <c r="E288" s="3"/>
      <c r="F288" s="48"/>
      <c r="G288" s="48"/>
      <c r="H288" s="10"/>
      <c r="I288" s="41" t="s">
        <v>573</v>
      </c>
      <c r="J288" s="1141">
        <v>75200</v>
      </c>
      <c r="K288" s="1395">
        <f>'[1]диагн.'!$G$315</f>
        <v>2.2317839999999998</v>
      </c>
      <c r="L288" s="1324">
        <f t="shared" si="29"/>
        <v>75202.231784</v>
      </c>
      <c r="M288" s="1462">
        <f t="shared" si="25"/>
        <v>7.52</v>
      </c>
      <c r="N288" s="1463">
        <f t="shared" si="30"/>
        <v>2.2317839999999998</v>
      </c>
      <c r="O288" s="1440">
        <f t="shared" si="27"/>
        <v>9.751783999999999</v>
      </c>
      <c r="P288" s="23"/>
      <c r="Q288" s="53"/>
      <c r="R288" s="2514">
        <f t="shared" si="28"/>
        <v>86480</v>
      </c>
      <c r="S288" s="2516"/>
      <c r="T288" s="2516"/>
      <c r="U288" s="2516"/>
      <c r="V288" s="2516"/>
      <c r="W288" s="2523">
        <f t="shared" si="31"/>
        <v>75240</v>
      </c>
      <c r="X288" s="2538">
        <v>62700</v>
      </c>
      <c r="Y288" s="2516"/>
      <c r="Z288" s="2516"/>
    </row>
    <row r="289" spans="1:26" s="9" customFormat="1" ht="18.75">
      <c r="A289" s="11">
        <v>24</v>
      </c>
      <c r="B289" s="67"/>
      <c r="C289" s="1532" t="s">
        <v>652</v>
      </c>
      <c r="D289" s="3"/>
      <c r="E289" s="3"/>
      <c r="F289" s="48"/>
      <c r="G289" s="48"/>
      <c r="H289" s="10"/>
      <c r="I289" s="41" t="s">
        <v>573</v>
      </c>
      <c r="J289" s="1141">
        <v>60200</v>
      </c>
      <c r="K289" s="1395">
        <f>'[1]диагн.'!$G$322</f>
        <v>2.1536055999999997</v>
      </c>
      <c r="L289" s="1324">
        <f t="shared" si="29"/>
        <v>60202.1536056</v>
      </c>
      <c r="M289" s="1462">
        <f t="shared" si="25"/>
        <v>6.02</v>
      </c>
      <c r="N289" s="1463">
        <f t="shared" si="30"/>
        <v>2.1536055999999997</v>
      </c>
      <c r="O289" s="1440">
        <f t="shared" si="27"/>
        <v>8.173605599999998</v>
      </c>
      <c r="P289" s="23"/>
      <c r="Q289" s="53"/>
      <c r="R289" s="2514">
        <f t="shared" si="28"/>
        <v>69230</v>
      </c>
      <c r="S289" s="2516"/>
      <c r="T289" s="2516"/>
      <c r="U289" s="2516"/>
      <c r="V289" s="2516"/>
      <c r="W289" s="2523">
        <f t="shared" si="31"/>
        <v>60240</v>
      </c>
      <c r="X289" s="2538">
        <v>50200</v>
      </c>
      <c r="Y289" s="2516"/>
      <c r="Z289" s="2516"/>
    </row>
    <row r="290" spans="1:26" s="9" customFormat="1" ht="18.75">
      <c r="A290" s="11">
        <v>25</v>
      </c>
      <c r="B290" s="67"/>
      <c r="C290" s="1532" t="s">
        <v>653</v>
      </c>
      <c r="D290" s="3"/>
      <c r="E290" s="3"/>
      <c r="F290" s="48"/>
      <c r="G290" s="48"/>
      <c r="H290" s="10"/>
      <c r="I290" s="41" t="s">
        <v>573</v>
      </c>
      <c r="J290" s="1141">
        <v>30100</v>
      </c>
      <c r="K290" s="1395">
        <f>'[1]диагн.'!$G$336</f>
        <v>1.9518199999999999</v>
      </c>
      <c r="L290" s="1324">
        <f t="shared" si="29"/>
        <v>30101.95182</v>
      </c>
      <c r="M290" s="1462">
        <f t="shared" si="25"/>
        <v>3.01</v>
      </c>
      <c r="N290" s="1463">
        <f t="shared" si="30"/>
        <v>1.9518199999999999</v>
      </c>
      <c r="O290" s="1440">
        <f t="shared" si="27"/>
        <v>4.9618199999999995</v>
      </c>
      <c r="P290" s="23"/>
      <c r="Q290" s="53"/>
      <c r="R290" s="2514">
        <f t="shared" si="28"/>
        <v>34615</v>
      </c>
      <c r="S290" s="2516"/>
      <c r="T290" s="2516"/>
      <c r="U290" s="2516"/>
      <c r="V290" s="2516"/>
      <c r="W290" s="2523">
        <f t="shared" si="31"/>
        <v>30120</v>
      </c>
      <c r="X290" s="2538">
        <v>25100</v>
      </c>
      <c r="Y290" s="2516"/>
      <c r="Z290" s="2516"/>
    </row>
    <row r="291" spans="1:26" s="643" customFormat="1" ht="18.75">
      <c r="A291" s="636">
        <v>26</v>
      </c>
      <c r="B291" s="637"/>
      <c r="C291" s="1544" t="s">
        <v>654</v>
      </c>
      <c r="D291" s="639"/>
      <c r="E291" s="639"/>
      <c r="F291" s="640"/>
      <c r="G291" s="640"/>
      <c r="H291" s="724"/>
      <c r="I291" s="672" t="s">
        <v>573</v>
      </c>
      <c r="J291" s="1142">
        <v>30100</v>
      </c>
      <c r="K291" s="1397">
        <f>'[1]диагн.'!$G$343</f>
        <v>0.5086649</v>
      </c>
      <c r="L291" s="1338">
        <f>SUM(J291:K291)</f>
        <v>30100.5086649</v>
      </c>
      <c r="M291" s="1462">
        <f t="shared" si="25"/>
        <v>3.01</v>
      </c>
      <c r="N291" s="1463">
        <f t="shared" si="30"/>
        <v>0.5086649</v>
      </c>
      <c r="O291" s="1440">
        <f t="shared" si="27"/>
        <v>3.5186648999999997</v>
      </c>
      <c r="P291" s="641"/>
      <c r="Q291" s="642"/>
      <c r="R291" s="2514">
        <f t="shared" si="28"/>
        <v>34615</v>
      </c>
      <c r="S291" s="2516"/>
      <c r="T291" s="2516"/>
      <c r="U291" s="2516"/>
      <c r="V291" s="2516"/>
      <c r="W291" s="2523">
        <f t="shared" si="31"/>
        <v>30120</v>
      </c>
      <c r="X291" s="2538">
        <v>25100</v>
      </c>
      <c r="Y291" s="2516"/>
      <c r="Z291" s="2516"/>
    </row>
    <row r="292" spans="1:26" s="643" customFormat="1" ht="18.75">
      <c r="A292" s="636">
        <v>27</v>
      </c>
      <c r="B292" s="637"/>
      <c r="C292" s="1544" t="s">
        <v>655</v>
      </c>
      <c r="D292" s="639"/>
      <c r="E292" s="639"/>
      <c r="F292" s="640"/>
      <c r="G292" s="640"/>
      <c r="H292" s="724"/>
      <c r="I292" s="672" t="s">
        <v>573</v>
      </c>
      <c r="J292" s="1142">
        <v>15100</v>
      </c>
      <c r="K292" s="1359">
        <f>'[1]диагн.'!$G$376</f>
        <v>1.8076599500000001</v>
      </c>
      <c r="L292" s="1338">
        <f t="shared" si="29"/>
        <v>15101.80765995</v>
      </c>
      <c r="M292" s="1462">
        <f t="shared" si="25"/>
        <v>1.51</v>
      </c>
      <c r="N292" s="1463">
        <f t="shared" si="30"/>
        <v>1.8076599500000001</v>
      </c>
      <c r="O292" s="1440">
        <f t="shared" si="27"/>
        <v>3.3176599500000004</v>
      </c>
      <c r="P292" s="641"/>
      <c r="Q292" s="642"/>
      <c r="R292" s="2514">
        <f t="shared" si="28"/>
        <v>17365</v>
      </c>
      <c r="S292" s="2516"/>
      <c r="T292" s="2516"/>
      <c r="U292" s="2516"/>
      <c r="V292" s="2516"/>
      <c r="W292" s="2523">
        <f t="shared" si="31"/>
        <v>15120</v>
      </c>
      <c r="X292" s="2538">
        <v>12600</v>
      </c>
      <c r="Y292" s="2516"/>
      <c r="Z292" s="2516"/>
    </row>
    <row r="293" spans="1:26" s="9" customFormat="1" ht="18.75">
      <c r="A293" s="11">
        <v>28</v>
      </c>
      <c r="B293" s="67"/>
      <c r="C293" s="1532" t="s">
        <v>656</v>
      </c>
      <c r="D293" s="3"/>
      <c r="E293" s="3"/>
      <c r="F293" s="48"/>
      <c r="G293" s="48"/>
      <c r="H293" s="10"/>
      <c r="I293" s="41" t="s">
        <v>573</v>
      </c>
      <c r="J293" s="1141">
        <v>34800</v>
      </c>
      <c r="K293" s="1385"/>
      <c r="L293" s="1324">
        <f t="shared" si="29"/>
        <v>34800</v>
      </c>
      <c r="M293" s="1462">
        <f t="shared" si="25"/>
        <v>3.48</v>
      </c>
      <c r="N293" s="1463">
        <f t="shared" si="30"/>
        <v>0</v>
      </c>
      <c r="O293" s="1440">
        <f t="shared" si="27"/>
        <v>3.48</v>
      </c>
      <c r="P293" s="23"/>
      <c r="Q293" s="53"/>
      <c r="R293" s="2514">
        <f t="shared" si="28"/>
        <v>40020</v>
      </c>
      <c r="S293" s="2516"/>
      <c r="T293" s="2516"/>
      <c r="U293" s="2516"/>
      <c r="V293" s="2516"/>
      <c r="W293" s="2523">
        <f t="shared" si="31"/>
        <v>34800</v>
      </c>
      <c r="X293" s="2538">
        <v>29000</v>
      </c>
      <c r="Y293" s="2516"/>
      <c r="Z293" s="2516"/>
    </row>
    <row r="294" spans="1:26" s="9" customFormat="1" ht="18">
      <c r="A294" s="68"/>
      <c r="B294" s="67"/>
      <c r="C294" s="1532" t="s">
        <v>657</v>
      </c>
      <c r="D294" s="3"/>
      <c r="E294" s="3"/>
      <c r="F294" s="48"/>
      <c r="G294" s="48"/>
      <c r="H294" s="10"/>
      <c r="I294" s="41"/>
      <c r="J294" s="1141"/>
      <c r="K294" s="1347"/>
      <c r="L294" s="1326"/>
      <c r="M294" s="1462"/>
      <c r="N294" s="1465"/>
      <c r="O294" s="1442"/>
      <c r="P294" s="23"/>
      <c r="Q294" s="53"/>
      <c r="R294" s="2516"/>
      <c r="S294" s="2516"/>
      <c r="T294" s="2516"/>
      <c r="U294" s="2516"/>
      <c r="V294" s="2516"/>
      <c r="W294" s="2523">
        <f t="shared" si="31"/>
        <v>0</v>
      </c>
      <c r="X294" s="2538"/>
      <c r="Y294" s="2516"/>
      <c r="Z294" s="2516"/>
    </row>
    <row r="295" spans="1:26" s="9" customFormat="1" ht="18">
      <c r="A295" s="68"/>
      <c r="B295" s="67"/>
      <c r="C295" s="26"/>
      <c r="D295" s="3"/>
      <c r="E295" s="3"/>
      <c r="F295" s="48"/>
      <c r="G295" s="48"/>
      <c r="H295" s="10"/>
      <c r="I295" s="41"/>
      <c r="J295" s="951"/>
      <c r="K295" s="1328"/>
      <c r="L295" s="1326"/>
      <c r="M295" s="1462"/>
      <c r="N295" s="1465"/>
      <c r="O295" s="1442"/>
      <c r="P295" s="23"/>
      <c r="Q295" s="53"/>
      <c r="R295" s="2516"/>
      <c r="S295" s="2516"/>
      <c r="T295" s="2516"/>
      <c r="U295" s="2516"/>
      <c r="V295" s="2516"/>
      <c r="W295" s="2523">
        <f t="shared" si="31"/>
        <v>0</v>
      </c>
      <c r="X295" s="2538"/>
      <c r="Y295" s="2516"/>
      <c r="Z295" s="2516"/>
    </row>
    <row r="296" spans="1:26" s="9" customFormat="1" ht="18">
      <c r="A296" s="68"/>
      <c r="B296" s="499" t="s">
        <v>622</v>
      </c>
      <c r="C296" s="500" t="s">
        <v>658</v>
      </c>
      <c r="D296" s="3"/>
      <c r="E296" s="3"/>
      <c r="F296" s="48"/>
      <c r="G296" s="48"/>
      <c r="H296" s="10"/>
      <c r="I296" s="41"/>
      <c r="J296" s="951"/>
      <c r="K296" s="1328"/>
      <c r="L296" s="1326"/>
      <c r="M296" s="1462"/>
      <c r="N296" s="1465"/>
      <c r="O296" s="1442"/>
      <c r="P296" s="23"/>
      <c r="Q296" s="53"/>
      <c r="R296" s="2516"/>
      <c r="S296" s="2516"/>
      <c r="T296" s="2516"/>
      <c r="U296" s="2516"/>
      <c r="V296" s="2516"/>
      <c r="W296" s="2523">
        <f t="shared" si="31"/>
        <v>0</v>
      </c>
      <c r="X296" s="2538"/>
      <c r="Y296" s="2516"/>
      <c r="Z296" s="2516"/>
    </row>
    <row r="297" spans="1:26" s="9" customFormat="1" ht="18.75">
      <c r="A297" s="11">
        <v>1</v>
      </c>
      <c r="B297" s="67"/>
      <c r="C297" s="1532" t="s">
        <v>624</v>
      </c>
      <c r="D297" s="3"/>
      <c r="E297" s="3"/>
      <c r="F297" s="48"/>
      <c r="G297" s="48"/>
      <c r="H297" s="10"/>
      <c r="I297" s="41" t="s">
        <v>573</v>
      </c>
      <c r="J297" s="1141">
        <f>J258</f>
        <v>30100</v>
      </c>
      <c r="K297" s="1395">
        <f>'[1]диагн.'!$N$12</f>
        <v>0.25</v>
      </c>
      <c r="L297" s="1324">
        <f aca="true" t="shared" si="32" ref="L297:L339">SUM(J297:K297)</f>
        <v>30100.25</v>
      </c>
      <c r="M297" s="1462">
        <f>J297/10000</f>
        <v>3.01</v>
      </c>
      <c r="N297" s="1463">
        <f aca="true" t="shared" si="33" ref="N297:N326">K297</f>
        <v>0.25</v>
      </c>
      <c r="O297" s="1440">
        <f aca="true" t="shared" si="34" ref="O297:O312">SUM(M297:N297)</f>
        <v>3.26</v>
      </c>
      <c r="P297" s="23"/>
      <c r="Q297" s="53"/>
      <c r="R297" s="2514"/>
      <c r="S297" s="2516"/>
      <c r="T297" s="2516"/>
      <c r="U297" s="2516"/>
      <c r="V297" s="2516"/>
      <c r="W297" s="2523">
        <f t="shared" si="31"/>
        <v>30120</v>
      </c>
      <c r="X297" s="2538">
        <f>X258</f>
        <v>25100</v>
      </c>
      <c r="Y297" s="2516"/>
      <c r="Z297" s="2516"/>
    </row>
    <row r="298" spans="1:26" s="9" customFormat="1" ht="18.75">
      <c r="A298" s="11">
        <v>2</v>
      </c>
      <c r="B298" s="67"/>
      <c r="C298" s="1532" t="s">
        <v>625</v>
      </c>
      <c r="D298" s="3"/>
      <c r="E298" s="3"/>
      <c r="F298" s="48"/>
      <c r="G298" s="48" t="s">
        <v>626</v>
      </c>
      <c r="H298" s="10"/>
      <c r="I298" s="41" t="s">
        <v>573</v>
      </c>
      <c r="J298" s="1141">
        <f aca="true" t="shared" si="35" ref="J298:J312">J259</f>
        <v>30100</v>
      </c>
      <c r="K298" s="1395">
        <f>'[1]диагн.'!$N$20</f>
        <v>0.25</v>
      </c>
      <c r="L298" s="1324">
        <f t="shared" si="32"/>
        <v>30100.25</v>
      </c>
      <c r="M298" s="1462">
        <f aca="true" t="shared" si="36" ref="M298:M312">M259</f>
        <v>3.01</v>
      </c>
      <c r="N298" s="1463">
        <f t="shared" si="33"/>
        <v>0.25</v>
      </c>
      <c r="O298" s="1440">
        <f t="shared" si="34"/>
        <v>3.26</v>
      </c>
      <c r="P298" s="23"/>
      <c r="Q298" s="53"/>
      <c r="R298" s="2514"/>
      <c r="S298" s="2516"/>
      <c r="T298" s="2516"/>
      <c r="U298" s="2516"/>
      <c r="V298" s="2516"/>
      <c r="W298" s="2523">
        <f t="shared" si="31"/>
        <v>30120</v>
      </c>
      <c r="X298" s="2538">
        <f aca="true" t="shared" si="37" ref="X298:X312">X259</f>
        <v>25100</v>
      </c>
      <c r="Y298" s="2516"/>
      <c r="Z298" s="2516"/>
    </row>
    <row r="299" spans="1:26" s="9" customFormat="1" ht="18.75">
      <c r="A299" s="11"/>
      <c r="B299" s="67"/>
      <c r="C299" s="1532"/>
      <c r="D299" s="3"/>
      <c r="E299" s="3"/>
      <c r="F299" s="48"/>
      <c r="G299" s="48" t="s">
        <v>627</v>
      </c>
      <c r="H299" s="10"/>
      <c r="I299" s="41" t="s">
        <v>573</v>
      </c>
      <c r="J299" s="1141">
        <f t="shared" si="35"/>
        <v>45100</v>
      </c>
      <c r="K299" s="1395">
        <f>'[1]диагн.'!$N$28</f>
        <v>0.33999999999999997</v>
      </c>
      <c r="L299" s="1324">
        <f t="shared" si="32"/>
        <v>45100.34</v>
      </c>
      <c r="M299" s="1462">
        <f t="shared" si="36"/>
        <v>4.51</v>
      </c>
      <c r="N299" s="1463">
        <f t="shared" si="33"/>
        <v>0.33999999999999997</v>
      </c>
      <c r="O299" s="1440">
        <f t="shared" si="34"/>
        <v>4.85</v>
      </c>
      <c r="P299" s="23"/>
      <c r="Q299" s="53"/>
      <c r="R299" s="2514"/>
      <c r="S299" s="2516"/>
      <c r="T299" s="2516"/>
      <c r="U299" s="2516"/>
      <c r="V299" s="2516"/>
      <c r="W299" s="2523">
        <f t="shared" si="31"/>
        <v>45120</v>
      </c>
      <c r="X299" s="2538">
        <f t="shared" si="37"/>
        <v>37600</v>
      </c>
      <c r="Y299" s="2516"/>
      <c r="Z299" s="2516"/>
    </row>
    <row r="300" spans="1:26" s="9" customFormat="1" ht="18.75">
      <c r="A300" s="11">
        <v>3</v>
      </c>
      <c r="B300" s="67"/>
      <c r="C300" s="1532" t="s">
        <v>628</v>
      </c>
      <c r="D300" s="3"/>
      <c r="E300" s="3"/>
      <c r="F300" s="48"/>
      <c r="G300" s="48" t="s">
        <v>629</v>
      </c>
      <c r="H300" s="10"/>
      <c r="I300" s="41" t="s">
        <v>573</v>
      </c>
      <c r="J300" s="1141">
        <f t="shared" si="35"/>
        <v>45100</v>
      </c>
      <c r="K300" s="1395">
        <f>'[1]диагн.'!$N$36</f>
        <v>0.25</v>
      </c>
      <c r="L300" s="1324">
        <f t="shared" si="32"/>
        <v>45100.25</v>
      </c>
      <c r="M300" s="1462">
        <f t="shared" si="36"/>
        <v>4.51</v>
      </c>
      <c r="N300" s="1463">
        <f t="shared" si="33"/>
        <v>0.25</v>
      </c>
      <c r="O300" s="1440">
        <f t="shared" si="34"/>
        <v>4.76</v>
      </c>
      <c r="P300" s="23"/>
      <c r="Q300" s="53"/>
      <c r="R300" s="2514"/>
      <c r="S300" s="2516"/>
      <c r="T300" s="2516"/>
      <c r="U300" s="2516"/>
      <c r="V300" s="2516"/>
      <c r="W300" s="2523">
        <f t="shared" si="31"/>
        <v>45120</v>
      </c>
      <c r="X300" s="2538">
        <f t="shared" si="37"/>
        <v>37600</v>
      </c>
      <c r="Y300" s="2516"/>
      <c r="Z300" s="2516"/>
    </row>
    <row r="301" spans="1:26" s="9" customFormat="1" ht="18.75">
      <c r="A301" s="11"/>
      <c r="B301" s="67"/>
      <c r="C301" s="1532"/>
      <c r="D301" s="3"/>
      <c r="E301" s="3"/>
      <c r="F301" s="48"/>
      <c r="G301" s="48" t="s">
        <v>630</v>
      </c>
      <c r="H301" s="10"/>
      <c r="I301" s="41" t="s">
        <v>573</v>
      </c>
      <c r="J301" s="1141">
        <f t="shared" si="35"/>
        <v>30100</v>
      </c>
      <c r="K301" s="1395">
        <f>'[1]диагн.'!$N$58</f>
        <v>0.25</v>
      </c>
      <c r="L301" s="1324">
        <f t="shared" si="32"/>
        <v>30100.25</v>
      </c>
      <c r="M301" s="1462">
        <f t="shared" si="36"/>
        <v>3.01</v>
      </c>
      <c r="N301" s="1463">
        <f t="shared" si="33"/>
        <v>0.25</v>
      </c>
      <c r="O301" s="1440">
        <f t="shared" si="34"/>
        <v>3.26</v>
      </c>
      <c r="P301" s="23"/>
      <c r="Q301" s="53"/>
      <c r="R301" s="2514"/>
      <c r="S301" s="2516"/>
      <c r="T301" s="2516"/>
      <c r="U301" s="2516"/>
      <c r="V301" s="2516"/>
      <c r="W301" s="2523">
        <f t="shared" si="31"/>
        <v>30120</v>
      </c>
      <c r="X301" s="2538">
        <f t="shared" si="37"/>
        <v>25100</v>
      </c>
      <c r="Y301" s="2516"/>
      <c r="Z301" s="2516"/>
    </row>
    <row r="302" spans="1:26" s="9" customFormat="1" ht="18.75">
      <c r="A302" s="11">
        <v>4</v>
      </c>
      <c r="B302" s="67"/>
      <c r="C302" s="1532" t="s">
        <v>631</v>
      </c>
      <c r="D302" s="3"/>
      <c r="E302" s="3"/>
      <c r="F302" s="48"/>
      <c r="G302" s="48"/>
      <c r="H302" s="10"/>
      <c r="I302" s="41" t="s">
        <v>573</v>
      </c>
      <c r="J302" s="1141">
        <f t="shared" si="35"/>
        <v>45100</v>
      </c>
      <c r="K302" s="1395">
        <f>'[1]диагн.'!$N$81</f>
        <v>1.425</v>
      </c>
      <c r="L302" s="1324">
        <f t="shared" si="32"/>
        <v>45101.425</v>
      </c>
      <c r="M302" s="1462">
        <f t="shared" si="36"/>
        <v>4.51</v>
      </c>
      <c r="N302" s="1463">
        <f t="shared" si="33"/>
        <v>1.425</v>
      </c>
      <c r="O302" s="1440">
        <f t="shared" si="34"/>
        <v>5.935</v>
      </c>
      <c r="P302" s="23"/>
      <c r="Q302" s="53"/>
      <c r="R302" s="2514"/>
      <c r="S302" s="2516"/>
      <c r="T302" s="2516"/>
      <c r="U302" s="2516"/>
      <c r="V302" s="2516"/>
      <c r="W302" s="2523">
        <f t="shared" si="31"/>
        <v>45120</v>
      </c>
      <c r="X302" s="2538">
        <f t="shared" si="37"/>
        <v>37600</v>
      </c>
      <c r="Y302" s="2516"/>
      <c r="Z302" s="2516"/>
    </row>
    <row r="303" spans="1:26" s="9" customFormat="1" ht="18.75">
      <c r="A303" s="11">
        <v>5</v>
      </c>
      <c r="B303" s="67"/>
      <c r="C303" s="1532" t="s">
        <v>632</v>
      </c>
      <c r="D303" s="3"/>
      <c r="E303" s="3"/>
      <c r="F303" s="48"/>
      <c r="G303" s="48"/>
      <c r="H303" s="10"/>
      <c r="I303" s="41" t="s">
        <v>573</v>
      </c>
      <c r="J303" s="1141">
        <f t="shared" si="35"/>
        <v>30100</v>
      </c>
      <c r="K303" s="1395">
        <f>'[1]диагн.'!$N$88</f>
        <v>0.25</v>
      </c>
      <c r="L303" s="1324">
        <f t="shared" si="32"/>
        <v>30100.25</v>
      </c>
      <c r="M303" s="1462">
        <f t="shared" si="36"/>
        <v>3.01</v>
      </c>
      <c r="N303" s="1463">
        <f t="shared" si="33"/>
        <v>0.25</v>
      </c>
      <c r="O303" s="1440">
        <f t="shared" si="34"/>
        <v>3.26</v>
      </c>
      <c r="P303" s="23"/>
      <c r="Q303" s="53"/>
      <c r="R303" s="2514"/>
      <c r="S303" s="2516"/>
      <c r="T303" s="2516"/>
      <c r="U303" s="2516"/>
      <c r="V303" s="2516"/>
      <c r="W303" s="2523">
        <f t="shared" si="31"/>
        <v>30120</v>
      </c>
      <c r="X303" s="2538">
        <f t="shared" si="37"/>
        <v>25100</v>
      </c>
      <c r="Y303" s="2516"/>
      <c r="Z303" s="2516"/>
    </row>
    <row r="304" spans="1:26" s="9" customFormat="1" ht="18.75">
      <c r="A304" s="11">
        <v>6</v>
      </c>
      <c r="B304" s="67"/>
      <c r="C304" s="1532" t="s">
        <v>633</v>
      </c>
      <c r="D304" s="3"/>
      <c r="E304" s="3"/>
      <c r="F304" s="48"/>
      <c r="G304" s="48" t="s">
        <v>626</v>
      </c>
      <c r="H304" s="10"/>
      <c r="I304" s="41" t="s">
        <v>573</v>
      </c>
      <c r="J304" s="1141">
        <f t="shared" si="35"/>
        <v>9000</v>
      </c>
      <c r="K304" s="1395">
        <f>'[1]диагн.'!$N$96</f>
        <v>0.25</v>
      </c>
      <c r="L304" s="1324">
        <f t="shared" si="32"/>
        <v>9000.25</v>
      </c>
      <c r="M304" s="1462">
        <f t="shared" si="36"/>
        <v>0.9</v>
      </c>
      <c r="N304" s="1463">
        <f t="shared" si="33"/>
        <v>0.25</v>
      </c>
      <c r="O304" s="1440">
        <f t="shared" si="34"/>
        <v>1.15</v>
      </c>
      <c r="P304" s="23"/>
      <c r="Q304" s="53"/>
      <c r="R304" s="2514"/>
      <c r="S304" s="2516"/>
      <c r="T304" s="2516"/>
      <c r="U304" s="2516"/>
      <c r="V304" s="2516"/>
      <c r="W304" s="2523">
        <f t="shared" si="31"/>
        <v>9000</v>
      </c>
      <c r="X304" s="2538">
        <f t="shared" si="37"/>
        <v>7500</v>
      </c>
      <c r="Y304" s="2516"/>
      <c r="Z304" s="2516"/>
    </row>
    <row r="305" spans="1:26" s="9" customFormat="1" ht="18.75">
      <c r="A305" s="11"/>
      <c r="B305" s="67"/>
      <c r="C305" s="1532"/>
      <c r="D305" s="3"/>
      <c r="E305" s="3"/>
      <c r="F305" s="48"/>
      <c r="G305" s="48" t="s">
        <v>627</v>
      </c>
      <c r="H305" s="10"/>
      <c r="I305" s="41" t="s">
        <v>573</v>
      </c>
      <c r="J305" s="1141">
        <f t="shared" si="35"/>
        <v>15100</v>
      </c>
      <c r="K305" s="1395">
        <f>'[1]диагн.'!$N$103</f>
        <v>0.33999999999999997</v>
      </c>
      <c r="L305" s="1324">
        <f t="shared" si="32"/>
        <v>15100.34</v>
      </c>
      <c r="M305" s="1462">
        <f t="shared" si="36"/>
        <v>1.51</v>
      </c>
      <c r="N305" s="1463">
        <f t="shared" si="33"/>
        <v>0.33999999999999997</v>
      </c>
      <c r="O305" s="1440">
        <f t="shared" si="34"/>
        <v>1.85</v>
      </c>
      <c r="P305" s="23"/>
      <c r="Q305" s="53"/>
      <c r="R305" s="2514"/>
      <c r="S305" s="2516"/>
      <c r="T305" s="2516"/>
      <c r="U305" s="2516"/>
      <c r="V305" s="2516"/>
      <c r="W305" s="2523">
        <f t="shared" si="31"/>
        <v>15120</v>
      </c>
      <c r="X305" s="2538">
        <f t="shared" si="37"/>
        <v>12600</v>
      </c>
      <c r="Y305" s="2516"/>
      <c r="Z305" s="2516"/>
    </row>
    <row r="306" spans="1:26" s="9" customFormat="1" ht="18.75">
      <c r="A306" s="11">
        <v>7</v>
      </c>
      <c r="B306" s="67"/>
      <c r="C306" s="1532" t="s">
        <v>634</v>
      </c>
      <c r="D306" s="3"/>
      <c r="E306" s="3"/>
      <c r="F306" s="48"/>
      <c r="G306" s="48" t="s">
        <v>626</v>
      </c>
      <c r="H306" s="10"/>
      <c r="I306" s="41" t="s">
        <v>573</v>
      </c>
      <c r="J306" s="1141">
        <f t="shared" si="35"/>
        <v>12100</v>
      </c>
      <c r="K306" s="1395">
        <f>'[1]диагн.'!$N$111</f>
        <v>0.25</v>
      </c>
      <c r="L306" s="1324">
        <f t="shared" si="32"/>
        <v>12100.25</v>
      </c>
      <c r="M306" s="1462">
        <f t="shared" si="36"/>
        <v>1.21</v>
      </c>
      <c r="N306" s="1463">
        <f t="shared" si="33"/>
        <v>0.25</v>
      </c>
      <c r="O306" s="1440">
        <f t="shared" si="34"/>
        <v>1.46</v>
      </c>
      <c r="P306" s="23"/>
      <c r="Q306" s="53"/>
      <c r="R306" s="2514"/>
      <c r="S306" s="2516"/>
      <c r="T306" s="2516"/>
      <c r="U306" s="2516"/>
      <c r="V306" s="2516"/>
      <c r="W306" s="2523">
        <f t="shared" si="31"/>
        <v>12120</v>
      </c>
      <c r="X306" s="2538">
        <f t="shared" si="37"/>
        <v>10100</v>
      </c>
      <c r="Y306" s="2516"/>
      <c r="Z306" s="2516"/>
    </row>
    <row r="307" spans="1:26" s="9" customFormat="1" ht="18.75">
      <c r="A307" s="11"/>
      <c r="B307" s="67"/>
      <c r="C307" s="1532"/>
      <c r="D307" s="3"/>
      <c r="E307" s="3"/>
      <c r="F307" s="48"/>
      <c r="G307" s="48" t="s">
        <v>627</v>
      </c>
      <c r="H307" s="10"/>
      <c r="I307" s="41" t="s">
        <v>573</v>
      </c>
      <c r="J307" s="1141">
        <f t="shared" si="35"/>
        <v>18100</v>
      </c>
      <c r="K307" s="1395">
        <f>'[1]диагн.'!$N$118</f>
        <v>0.33999999999999997</v>
      </c>
      <c r="L307" s="1324">
        <f t="shared" si="32"/>
        <v>18100.34</v>
      </c>
      <c r="M307" s="1462">
        <f t="shared" si="36"/>
        <v>1.81</v>
      </c>
      <c r="N307" s="1463">
        <f t="shared" si="33"/>
        <v>0.33999999999999997</v>
      </c>
      <c r="O307" s="1440">
        <f t="shared" si="34"/>
        <v>2.15</v>
      </c>
      <c r="P307" s="23"/>
      <c r="Q307" s="53"/>
      <c r="R307" s="2514"/>
      <c r="S307" s="2516"/>
      <c r="T307" s="2516"/>
      <c r="U307" s="2516"/>
      <c r="V307" s="2516"/>
      <c r="W307" s="2523">
        <f t="shared" si="31"/>
        <v>18120</v>
      </c>
      <c r="X307" s="2538">
        <f t="shared" si="37"/>
        <v>15100</v>
      </c>
      <c r="Y307" s="2516"/>
      <c r="Z307" s="2516"/>
    </row>
    <row r="308" spans="1:26" s="9" customFormat="1" ht="18.75">
      <c r="A308" s="11">
        <v>8</v>
      </c>
      <c r="B308" s="67"/>
      <c r="C308" s="1532" t="s">
        <v>635</v>
      </c>
      <c r="D308" s="3"/>
      <c r="E308" s="3"/>
      <c r="F308" s="48"/>
      <c r="G308" s="48"/>
      <c r="H308" s="10"/>
      <c r="I308" s="41" t="s">
        <v>573</v>
      </c>
      <c r="J308" s="1141">
        <f t="shared" si="35"/>
        <v>2400</v>
      </c>
      <c r="K308" s="1388"/>
      <c r="L308" s="1324">
        <f t="shared" si="32"/>
        <v>2400</v>
      </c>
      <c r="M308" s="1462">
        <f t="shared" si="36"/>
        <v>0.24</v>
      </c>
      <c r="N308" s="1463">
        <f t="shared" si="33"/>
        <v>0</v>
      </c>
      <c r="O308" s="1440">
        <f t="shared" si="34"/>
        <v>0.24</v>
      </c>
      <c r="P308" s="23"/>
      <c r="Q308" s="53"/>
      <c r="R308" s="2514"/>
      <c r="S308" s="2516"/>
      <c r="T308" s="2516"/>
      <c r="U308" s="2516"/>
      <c r="V308" s="2516"/>
      <c r="W308" s="2523">
        <f t="shared" si="31"/>
        <v>2400</v>
      </c>
      <c r="X308" s="2538">
        <f t="shared" si="37"/>
        <v>2000</v>
      </c>
      <c r="Y308" s="2516"/>
      <c r="Z308" s="2516"/>
    </row>
    <row r="309" spans="1:26" s="9" customFormat="1" ht="18.75">
      <c r="A309" s="11">
        <v>9</v>
      </c>
      <c r="B309" s="67"/>
      <c r="C309" s="1532" t="s">
        <v>636</v>
      </c>
      <c r="D309" s="3"/>
      <c r="E309" s="3"/>
      <c r="F309" s="48"/>
      <c r="G309" s="48"/>
      <c r="H309" s="10"/>
      <c r="I309" s="41" t="s">
        <v>573</v>
      </c>
      <c r="J309" s="1141">
        <f t="shared" si="35"/>
        <v>30100</v>
      </c>
      <c r="K309" s="1395">
        <f>'[1]диагн.'!$N$124</f>
        <v>0.16</v>
      </c>
      <c r="L309" s="1324">
        <f t="shared" si="32"/>
        <v>30100.16</v>
      </c>
      <c r="M309" s="1462">
        <f t="shared" si="36"/>
        <v>3.01</v>
      </c>
      <c r="N309" s="1463">
        <f t="shared" si="33"/>
        <v>0.16</v>
      </c>
      <c r="O309" s="1440">
        <f t="shared" si="34"/>
        <v>3.17</v>
      </c>
      <c r="P309" s="23"/>
      <c r="Q309" s="53"/>
      <c r="R309" s="2514"/>
      <c r="S309" s="2516"/>
      <c r="T309" s="2516"/>
      <c r="U309" s="2516"/>
      <c r="V309" s="2516"/>
      <c r="W309" s="2523">
        <f t="shared" si="31"/>
        <v>30120</v>
      </c>
      <c r="X309" s="2538">
        <f t="shared" si="37"/>
        <v>25100</v>
      </c>
      <c r="Y309" s="2516"/>
      <c r="Z309" s="2516"/>
    </row>
    <row r="310" spans="1:26" s="9" customFormat="1" ht="18.75">
      <c r="A310" s="11">
        <v>10</v>
      </c>
      <c r="B310" s="67"/>
      <c r="C310" s="1532" t="s">
        <v>637</v>
      </c>
      <c r="D310" s="3"/>
      <c r="E310" s="3"/>
      <c r="F310" s="48"/>
      <c r="G310" s="48"/>
      <c r="H310" s="10"/>
      <c r="I310" s="41" t="s">
        <v>573</v>
      </c>
      <c r="J310" s="1141">
        <f t="shared" si="35"/>
        <v>45100</v>
      </c>
      <c r="K310" s="1395">
        <f>'[1]диагн.'!$N$131</f>
        <v>0.25</v>
      </c>
      <c r="L310" s="1324">
        <f t="shared" si="32"/>
        <v>45100.25</v>
      </c>
      <c r="M310" s="1462">
        <f t="shared" si="36"/>
        <v>4.51</v>
      </c>
      <c r="N310" s="1463">
        <f t="shared" si="33"/>
        <v>0.25</v>
      </c>
      <c r="O310" s="1440">
        <f t="shared" si="34"/>
        <v>4.76</v>
      </c>
      <c r="P310" s="23"/>
      <c r="Q310" s="53"/>
      <c r="R310" s="2514"/>
      <c r="S310" s="2516"/>
      <c r="T310" s="2516"/>
      <c r="U310" s="2516"/>
      <c r="V310" s="2516"/>
      <c r="W310" s="2523">
        <f t="shared" si="31"/>
        <v>45120</v>
      </c>
      <c r="X310" s="2538">
        <f t="shared" si="37"/>
        <v>37600</v>
      </c>
      <c r="Y310" s="2516"/>
      <c r="Z310" s="2516"/>
    </row>
    <row r="311" spans="1:26" s="9" customFormat="1" ht="18.75">
      <c r="A311" s="11">
        <v>11</v>
      </c>
      <c r="B311" s="67"/>
      <c r="C311" s="1532" t="s">
        <v>638</v>
      </c>
      <c r="D311" s="3"/>
      <c r="E311" s="3"/>
      <c r="F311" s="48"/>
      <c r="G311" s="48"/>
      <c r="H311" s="10"/>
      <c r="I311" s="41" t="s">
        <v>573</v>
      </c>
      <c r="J311" s="1141">
        <f t="shared" si="35"/>
        <v>30100</v>
      </c>
      <c r="K311" s="1395">
        <f>'[1]диагн.'!$N$140</f>
        <v>2.33</v>
      </c>
      <c r="L311" s="1324">
        <f t="shared" si="32"/>
        <v>30102.33</v>
      </c>
      <c r="M311" s="1462">
        <f t="shared" si="36"/>
        <v>3.01</v>
      </c>
      <c r="N311" s="1463">
        <f t="shared" si="33"/>
        <v>2.33</v>
      </c>
      <c r="O311" s="1440">
        <f t="shared" si="34"/>
        <v>5.34</v>
      </c>
      <c r="P311" s="23"/>
      <c r="Q311" s="817">
        <f>L311-16200</f>
        <v>13902.330000000002</v>
      </c>
      <c r="R311" s="2514"/>
      <c r="S311" s="2516"/>
      <c r="T311" s="2516"/>
      <c r="U311" s="2516"/>
      <c r="V311" s="2516"/>
      <c r="W311" s="2523">
        <f t="shared" si="31"/>
        <v>30120</v>
      </c>
      <c r="X311" s="2538">
        <f t="shared" si="37"/>
        <v>25100</v>
      </c>
      <c r="Y311" s="2516"/>
      <c r="Z311" s="2516"/>
    </row>
    <row r="312" spans="1:26" s="9" customFormat="1" ht="18.75">
      <c r="A312" s="11">
        <v>12</v>
      </c>
      <c r="B312" s="67"/>
      <c r="C312" s="1532" t="s">
        <v>639</v>
      </c>
      <c r="D312" s="3"/>
      <c r="E312" s="3"/>
      <c r="F312" s="48"/>
      <c r="G312" s="48"/>
      <c r="H312" s="10"/>
      <c r="I312" s="41" t="s">
        <v>573</v>
      </c>
      <c r="J312" s="1141">
        <f t="shared" si="35"/>
        <v>60200</v>
      </c>
      <c r="K312" s="1395">
        <f>'[1]диагн.'!$N$149</f>
        <v>2.6</v>
      </c>
      <c r="L312" s="1324">
        <f t="shared" si="32"/>
        <v>60202.6</v>
      </c>
      <c r="M312" s="1462">
        <f t="shared" si="36"/>
        <v>6.02</v>
      </c>
      <c r="N312" s="1463">
        <f t="shared" si="33"/>
        <v>2.6</v>
      </c>
      <c r="O312" s="1440">
        <f t="shared" si="34"/>
        <v>8.62</v>
      </c>
      <c r="P312" s="23"/>
      <c r="Q312" s="53"/>
      <c r="R312" s="2514"/>
      <c r="S312" s="2516"/>
      <c r="T312" s="2516"/>
      <c r="U312" s="2516"/>
      <c r="V312" s="2516"/>
      <c r="W312" s="2523">
        <f t="shared" si="31"/>
        <v>60240</v>
      </c>
      <c r="X312" s="2538">
        <f t="shared" si="37"/>
        <v>50200</v>
      </c>
      <c r="Y312" s="2516"/>
      <c r="Z312" s="2516"/>
    </row>
    <row r="313" spans="1:26" s="9" customFormat="1" ht="18.75">
      <c r="A313" s="11">
        <v>13</v>
      </c>
      <c r="B313" s="67"/>
      <c r="C313" s="1532" t="s">
        <v>659</v>
      </c>
      <c r="D313" s="3"/>
      <c r="E313" s="3"/>
      <c r="F313" s="48"/>
      <c r="G313" s="48"/>
      <c r="H313" s="10"/>
      <c r="I313" s="41" t="s">
        <v>573</v>
      </c>
      <c r="J313" s="1141">
        <v>141700</v>
      </c>
      <c r="K313" s="1395">
        <f>'[1]диагн.'!$N$160</f>
        <v>4.680000000000001</v>
      </c>
      <c r="L313" s="1324">
        <f t="shared" si="32"/>
        <v>141704.68</v>
      </c>
      <c r="M313" s="1462">
        <f>J313/10000</f>
        <v>14.17</v>
      </c>
      <c r="N313" s="1463">
        <f t="shared" si="33"/>
        <v>4.680000000000001</v>
      </c>
      <c r="O313" s="1440">
        <f>SUM(M313:N313)</f>
        <v>18.85</v>
      </c>
      <c r="P313" s="23"/>
      <c r="Q313" s="817">
        <f>L313-57300</f>
        <v>84404.68</v>
      </c>
      <c r="R313" s="2514">
        <f>J313*1.15</f>
        <v>162955</v>
      </c>
      <c r="S313" s="2516"/>
      <c r="T313" s="2516"/>
      <c r="U313" s="2516"/>
      <c r="V313" s="2516"/>
      <c r="W313" s="2523">
        <f t="shared" si="31"/>
        <v>141720</v>
      </c>
      <c r="X313" s="2538">
        <v>118100</v>
      </c>
      <c r="Y313" s="2516"/>
      <c r="Z313" s="2516"/>
    </row>
    <row r="314" spans="1:26" s="9" customFormat="1" ht="18.75">
      <c r="A314" s="11">
        <v>14</v>
      </c>
      <c r="B314" s="67"/>
      <c r="C314" s="1532" t="s">
        <v>660</v>
      </c>
      <c r="D314" s="3"/>
      <c r="E314" s="3"/>
      <c r="F314" s="48"/>
      <c r="G314" s="48"/>
      <c r="H314" s="10"/>
      <c r="I314" s="41" t="s">
        <v>573</v>
      </c>
      <c r="J314" s="1141">
        <v>202400</v>
      </c>
      <c r="K314" s="1395">
        <f>'[1]диагн.'!$N$171</f>
        <v>4.7700000000000005</v>
      </c>
      <c r="L314" s="1324">
        <f t="shared" si="32"/>
        <v>202404.77</v>
      </c>
      <c r="M314" s="1462">
        <f>J314/10000</f>
        <v>20.24</v>
      </c>
      <c r="N314" s="1463">
        <f t="shared" si="33"/>
        <v>4.7700000000000005</v>
      </c>
      <c r="O314" s="1440">
        <f>SUM(M314:N314)</f>
        <v>25.009999999999998</v>
      </c>
      <c r="P314" s="23"/>
      <c r="Q314" s="817">
        <f>L314-73600</f>
        <v>128804.76999999999</v>
      </c>
      <c r="R314" s="2514">
        <f>J314*1.15</f>
        <v>232759.99999999997</v>
      </c>
      <c r="S314" s="2516"/>
      <c r="T314" s="2516"/>
      <c r="U314" s="2516"/>
      <c r="V314" s="2516"/>
      <c r="W314" s="2523">
        <f t="shared" si="31"/>
        <v>202440</v>
      </c>
      <c r="X314" s="2538">
        <v>168700</v>
      </c>
      <c r="Y314" s="2516"/>
      <c r="Z314" s="2516"/>
    </row>
    <row r="315" spans="1:26" s="9" customFormat="1" ht="18.75">
      <c r="A315" s="11">
        <v>15</v>
      </c>
      <c r="B315" s="67"/>
      <c r="C315" s="1532" t="s">
        <v>640</v>
      </c>
      <c r="D315" s="3"/>
      <c r="E315" s="3"/>
      <c r="F315" s="48"/>
      <c r="G315" s="48" t="s">
        <v>626</v>
      </c>
      <c r="H315" s="10"/>
      <c r="I315" s="41" t="s">
        <v>573</v>
      </c>
      <c r="J315" s="1141">
        <f>J274</f>
        <v>30100</v>
      </c>
      <c r="K315" s="1395">
        <f>'[1]диагн.'!$N$180</f>
        <v>0.25</v>
      </c>
      <c r="L315" s="1324">
        <f t="shared" si="32"/>
        <v>30100.25</v>
      </c>
      <c r="M315" s="1462">
        <f>M274</f>
        <v>3.01</v>
      </c>
      <c r="N315" s="1463">
        <f t="shared" si="33"/>
        <v>0.25</v>
      </c>
      <c r="O315" s="1440">
        <f aca="true" t="shared" si="38" ref="O315:O333">SUM(M315:N315)</f>
        <v>3.26</v>
      </c>
      <c r="P315" s="23"/>
      <c r="Q315" s="53"/>
      <c r="R315" s="2514"/>
      <c r="S315" s="2516"/>
      <c r="T315" s="2516"/>
      <c r="U315" s="2516"/>
      <c r="V315" s="2516"/>
      <c r="W315" s="2523">
        <f t="shared" si="31"/>
        <v>30120</v>
      </c>
      <c r="X315" s="2538">
        <f>X274</f>
        <v>25100</v>
      </c>
      <c r="Y315" s="2516"/>
      <c r="Z315" s="2516"/>
    </row>
    <row r="316" spans="1:26" s="9" customFormat="1" ht="18.75">
      <c r="A316" s="11"/>
      <c r="B316" s="67"/>
      <c r="C316" s="1532"/>
      <c r="D316" s="3"/>
      <c r="E316" s="3"/>
      <c r="F316" s="48"/>
      <c r="G316" s="48" t="s">
        <v>627</v>
      </c>
      <c r="H316" s="10"/>
      <c r="I316" s="41" t="s">
        <v>573</v>
      </c>
      <c r="J316" s="1141">
        <f aca="true" t="shared" si="39" ref="J316:J333">J275</f>
        <v>45100</v>
      </c>
      <c r="K316" s="1395">
        <f>'[1]диагн.'!$N$194</f>
        <v>0.25</v>
      </c>
      <c r="L316" s="1324">
        <f t="shared" si="32"/>
        <v>45100.25</v>
      </c>
      <c r="M316" s="1462">
        <f aca="true" t="shared" si="40" ref="M316:M333">M275</f>
        <v>4.51</v>
      </c>
      <c r="N316" s="1463">
        <f t="shared" si="33"/>
        <v>0.25</v>
      </c>
      <c r="O316" s="1440">
        <f t="shared" si="38"/>
        <v>4.76</v>
      </c>
      <c r="P316" s="23"/>
      <c r="Q316" s="53"/>
      <c r="R316" s="2514"/>
      <c r="S316" s="2516"/>
      <c r="T316" s="2516"/>
      <c r="U316" s="2516"/>
      <c r="V316" s="2516"/>
      <c r="W316" s="2523">
        <f t="shared" si="31"/>
        <v>45120</v>
      </c>
      <c r="X316" s="2538">
        <f aca="true" t="shared" si="41" ref="X316:X333">X275</f>
        <v>37600</v>
      </c>
      <c r="Y316" s="2516"/>
      <c r="Z316" s="2516"/>
    </row>
    <row r="317" spans="1:26" s="9" customFormat="1" ht="18.75">
      <c r="A317" s="11">
        <v>16</v>
      </c>
      <c r="B317" s="67"/>
      <c r="C317" s="1532" t="s">
        <v>641</v>
      </c>
      <c r="D317" s="3"/>
      <c r="E317" s="3"/>
      <c r="F317" s="48"/>
      <c r="G317" s="48" t="s">
        <v>626</v>
      </c>
      <c r="H317" s="10"/>
      <c r="I317" s="41" t="s">
        <v>573</v>
      </c>
      <c r="J317" s="1141">
        <f t="shared" si="39"/>
        <v>30100</v>
      </c>
      <c r="K317" s="1395">
        <f>'[1]диагн.'!$N$209</f>
        <v>0.25</v>
      </c>
      <c r="L317" s="1324">
        <f t="shared" si="32"/>
        <v>30100.25</v>
      </c>
      <c r="M317" s="1462">
        <f t="shared" si="40"/>
        <v>3.01</v>
      </c>
      <c r="N317" s="1463">
        <f t="shared" si="33"/>
        <v>0.25</v>
      </c>
      <c r="O317" s="1440">
        <f t="shared" si="38"/>
        <v>3.26</v>
      </c>
      <c r="P317" s="23"/>
      <c r="Q317" s="53"/>
      <c r="R317" s="2514"/>
      <c r="S317" s="2516"/>
      <c r="T317" s="2516"/>
      <c r="U317" s="2516"/>
      <c r="V317" s="2516"/>
      <c r="W317" s="2523">
        <f t="shared" si="31"/>
        <v>30120</v>
      </c>
      <c r="X317" s="2538">
        <f t="shared" si="41"/>
        <v>25100</v>
      </c>
      <c r="Y317" s="2516"/>
      <c r="Z317" s="2516"/>
    </row>
    <row r="318" spans="1:26" s="9" customFormat="1" ht="18.75">
      <c r="A318" s="11"/>
      <c r="B318" s="67"/>
      <c r="C318" s="1532"/>
      <c r="D318" s="3"/>
      <c r="E318" s="3"/>
      <c r="F318" s="48"/>
      <c r="G318" s="48" t="s">
        <v>627</v>
      </c>
      <c r="H318" s="10"/>
      <c r="I318" s="41" t="s">
        <v>573</v>
      </c>
      <c r="J318" s="1141">
        <f t="shared" si="39"/>
        <v>45100</v>
      </c>
      <c r="K318" s="1395">
        <f>'[1]диагн.'!$N$223</f>
        <v>0.33999999999999997</v>
      </c>
      <c r="L318" s="1324">
        <f t="shared" si="32"/>
        <v>45100.34</v>
      </c>
      <c r="M318" s="1462">
        <f t="shared" si="40"/>
        <v>4.51</v>
      </c>
      <c r="N318" s="1463">
        <f t="shared" si="33"/>
        <v>0.33999999999999997</v>
      </c>
      <c r="O318" s="1440">
        <f t="shared" si="38"/>
        <v>4.85</v>
      </c>
      <c r="P318" s="23"/>
      <c r="Q318" s="53"/>
      <c r="R318" s="2514"/>
      <c r="S318" s="2516"/>
      <c r="T318" s="2516"/>
      <c r="U318" s="2516"/>
      <c r="V318" s="2516"/>
      <c r="W318" s="2523">
        <f t="shared" si="31"/>
        <v>45120</v>
      </c>
      <c r="X318" s="2538">
        <f t="shared" si="41"/>
        <v>37600</v>
      </c>
      <c r="Y318" s="2516"/>
      <c r="Z318" s="2516"/>
    </row>
    <row r="319" spans="1:26" s="9" customFormat="1" ht="18.75">
      <c r="A319" s="11">
        <v>17</v>
      </c>
      <c r="B319" s="67"/>
      <c r="C319" s="1532" t="s">
        <v>642</v>
      </c>
      <c r="D319" s="3"/>
      <c r="E319" s="3"/>
      <c r="F319" s="48"/>
      <c r="G319" s="48" t="s">
        <v>626</v>
      </c>
      <c r="H319" s="10"/>
      <c r="I319" s="41" t="s">
        <v>573</v>
      </c>
      <c r="J319" s="1141">
        <f t="shared" si="39"/>
        <v>30100</v>
      </c>
      <c r="K319" s="1395">
        <f>'[1]диагн.'!$N$238</f>
        <v>0.25</v>
      </c>
      <c r="L319" s="1324">
        <f t="shared" si="32"/>
        <v>30100.25</v>
      </c>
      <c r="M319" s="1462">
        <f t="shared" si="40"/>
        <v>3.01</v>
      </c>
      <c r="N319" s="1463">
        <f t="shared" si="33"/>
        <v>0.25</v>
      </c>
      <c r="O319" s="1440">
        <f t="shared" si="38"/>
        <v>3.26</v>
      </c>
      <c r="P319" s="23"/>
      <c r="Q319" s="53"/>
      <c r="R319" s="2514"/>
      <c r="S319" s="2516"/>
      <c r="T319" s="2516"/>
      <c r="U319" s="2516"/>
      <c r="V319" s="2516"/>
      <c r="W319" s="2523">
        <f t="shared" si="31"/>
        <v>30120</v>
      </c>
      <c r="X319" s="2538">
        <f t="shared" si="41"/>
        <v>25100</v>
      </c>
      <c r="Y319" s="2516"/>
      <c r="Z319" s="2516"/>
    </row>
    <row r="320" spans="1:26" s="9" customFormat="1" ht="18.75">
      <c r="A320" s="11">
        <v>16</v>
      </c>
      <c r="B320" s="67"/>
      <c r="C320" s="1532"/>
      <c r="D320" s="3"/>
      <c r="E320" s="3"/>
      <c r="F320" s="48"/>
      <c r="G320" s="48" t="s">
        <v>627</v>
      </c>
      <c r="H320" s="10"/>
      <c r="I320" s="41" t="s">
        <v>573</v>
      </c>
      <c r="J320" s="1141">
        <f t="shared" si="39"/>
        <v>45100</v>
      </c>
      <c r="K320" s="1395">
        <f>'[1]диагн.'!$N$245</f>
        <v>0.33999999999999997</v>
      </c>
      <c r="L320" s="1324">
        <f t="shared" si="32"/>
        <v>45100.34</v>
      </c>
      <c r="M320" s="1462">
        <f t="shared" si="40"/>
        <v>4.51</v>
      </c>
      <c r="N320" s="1463">
        <f t="shared" si="33"/>
        <v>0.33999999999999997</v>
      </c>
      <c r="O320" s="1440">
        <f t="shared" si="38"/>
        <v>4.85</v>
      </c>
      <c r="P320" s="23"/>
      <c r="Q320" s="53"/>
      <c r="R320" s="2514"/>
      <c r="S320" s="2516"/>
      <c r="T320" s="2516"/>
      <c r="U320" s="2516"/>
      <c r="V320" s="2516"/>
      <c r="W320" s="2523">
        <f t="shared" si="31"/>
        <v>45120</v>
      </c>
      <c r="X320" s="2538">
        <f t="shared" si="41"/>
        <v>37600</v>
      </c>
      <c r="Y320" s="2516"/>
      <c r="Z320" s="2516"/>
    </row>
    <row r="321" spans="1:26" s="9" customFormat="1" ht="18.75">
      <c r="A321" s="11">
        <v>18</v>
      </c>
      <c r="B321" s="67"/>
      <c r="C321" s="1532" t="s">
        <v>643</v>
      </c>
      <c r="D321" s="3"/>
      <c r="E321" s="3"/>
      <c r="F321" s="48"/>
      <c r="G321" s="48"/>
      <c r="H321" s="10"/>
      <c r="I321" s="41" t="s">
        <v>573</v>
      </c>
      <c r="J321" s="1141">
        <f t="shared" si="39"/>
        <v>30100</v>
      </c>
      <c r="K321" s="1395">
        <f>'[1]диагн.'!$N$252</f>
        <v>0.25</v>
      </c>
      <c r="L321" s="1324">
        <f t="shared" si="32"/>
        <v>30100.25</v>
      </c>
      <c r="M321" s="1462">
        <f t="shared" si="40"/>
        <v>3.01</v>
      </c>
      <c r="N321" s="1463">
        <f t="shared" si="33"/>
        <v>0.25</v>
      </c>
      <c r="O321" s="1440">
        <f t="shared" si="38"/>
        <v>3.26</v>
      </c>
      <c r="P321" s="23"/>
      <c r="Q321" s="53"/>
      <c r="R321" s="2514"/>
      <c r="S321" s="2516"/>
      <c r="T321" s="2516"/>
      <c r="U321" s="2516"/>
      <c r="V321" s="2516"/>
      <c r="W321" s="2523">
        <f t="shared" si="31"/>
        <v>30120</v>
      </c>
      <c r="X321" s="2538">
        <f t="shared" si="41"/>
        <v>25100</v>
      </c>
      <c r="Y321" s="2516"/>
      <c r="Z321" s="2516"/>
    </row>
    <row r="322" spans="1:26" s="9" customFormat="1" ht="18.75">
      <c r="A322" s="11">
        <v>19</v>
      </c>
      <c r="B322" s="67"/>
      <c r="C322" s="1532" t="s">
        <v>644</v>
      </c>
      <c r="D322" s="3"/>
      <c r="E322" s="3"/>
      <c r="F322" s="48"/>
      <c r="G322" s="48"/>
      <c r="H322" s="10"/>
      <c r="I322" s="41" t="s">
        <v>573</v>
      </c>
      <c r="J322" s="1141">
        <f t="shared" si="39"/>
        <v>45100</v>
      </c>
      <c r="K322" s="1395">
        <f>'[1]диагн.'!$N$259</f>
        <v>0.25</v>
      </c>
      <c r="L322" s="1324">
        <f t="shared" si="32"/>
        <v>45100.25</v>
      </c>
      <c r="M322" s="1462">
        <f t="shared" si="40"/>
        <v>4.51</v>
      </c>
      <c r="N322" s="1463">
        <f t="shared" si="33"/>
        <v>0.25</v>
      </c>
      <c r="O322" s="1440">
        <f t="shared" si="38"/>
        <v>4.76</v>
      </c>
      <c r="P322" s="23"/>
      <c r="Q322" s="53"/>
      <c r="R322" s="2514"/>
      <c r="S322" s="2516"/>
      <c r="T322" s="2516"/>
      <c r="U322" s="2516"/>
      <c r="V322" s="2516"/>
      <c r="W322" s="2523">
        <f t="shared" si="31"/>
        <v>45120</v>
      </c>
      <c r="X322" s="2538">
        <f t="shared" si="41"/>
        <v>37600</v>
      </c>
      <c r="Y322" s="2516"/>
      <c r="Z322" s="2516"/>
    </row>
    <row r="323" spans="1:26" s="9" customFormat="1" ht="18.75">
      <c r="A323" s="11">
        <v>20</v>
      </c>
      <c r="B323" s="67"/>
      <c r="C323" s="1532" t="s">
        <v>645</v>
      </c>
      <c r="D323" s="3"/>
      <c r="E323" s="3"/>
      <c r="F323" s="48"/>
      <c r="G323" s="48"/>
      <c r="H323" s="10"/>
      <c r="I323" s="41" t="s">
        <v>573</v>
      </c>
      <c r="J323" s="1141">
        <f t="shared" si="39"/>
        <v>45100</v>
      </c>
      <c r="K323" s="1395">
        <f>'[1]диагн.'!$N$266</f>
        <v>0.25</v>
      </c>
      <c r="L323" s="1324">
        <f t="shared" si="32"/>
        <v>45100.25</v>
      </c>
      <c r="M323" s="1462">
        <f t="shared" si="40"/>
        <v>4.51</v>
      </c>
      <c r="N323" s="1463">
        <f t="shared" si="33"/>
        <v>0.25</v>
      </c>
      <c r="O323" s="1440">
        <f t="shared" si="38"/>
        <v>4.76</v>
      </c>
      <c r="P323" s="23"/>
      <c r="Q323" s="53"/>
      <c r="R323" s="2514"/>
      <c r="S323" s="2516"/>
      <c r="T323" s="2516"/>
      <c r="U323" s="2516"/>
      <c r="V323" s="2516"/>
      <c r="W323" s="2523">
        <f t="shared" si="31"/>
        <v>45120</v>
      </c>
      <c r="X323" s="2538">
        <f t="shared" si="41"/>
        <v>37600</v>
      </c>
      <c r="Y323" s="2516"/>
      <c r="Z323" s="2516"/>
    </row>
    <row r="324" spans="1:26" s="9" customFormat="1" ht="18.75">
      <c r="A324" s="11">
        <v>21</v>
      </c>
      <c r="B324" s="67"/>
      <c r="C324" s="1532" t="s">
        <v>646</v>
      </c>
      <c r="D324" s="3"/>
      <c r="E324" s="3"/>
      <c r="F324" s="48"/>
      <c r="G324" s="48"/>
      <c r="H324" s="10"/>
      <c r="I324" s="41" t="s">
        <v>573</v>
      </c>
      <c r="J324" s="1141">
        <f t="shared" si="39"/>
        <v>30100</v>
      </c>
      <c r="K324" s="1395">
        <f>'[1]диагн.'!$N$273</f>
        <v>0.25</v>
      </c>
      <c r="L324" s="1324">
        <f t="shared" si="32"/>
        <v>30100.25</v>
      </c>
      <c r="M324" s="1462">
        <f t="shared" si="40"/>
        <v>3.01</v>
      </c>
      <c r="N324" s="1463">
        <f t="shared" si="33"/>
        <v>0.25</v>
      </c>
      <c r="O324" s="1440">
        <f t="shared" si="38"/>
        <v>3.26</v>
      </c>
      <c r="P324" s="23"/>
      <c r="Q324" s="53"/>
      <c r="R324" s="2514"/>
      <c r="S324" s="2516"/>
      <c r="T324" s="2516"/>
      <c r="U324" s="2516"/>
      <c r="V324" s="2516"/>
      <c r="W324" s="2523">
        <f t="shared" si="31"/>
        <v>30120</v>
      </c>
      <c r="X324" s="2538">
        <f t="shared" si="41"/>
        <v>25100</v>
      </c>
      <c r="Y324" s="2516"/>
      <c r="Z324" s="2516"/>
    </row>
    <row r="325" spans="1:26" s="9" customFormat="1" ht="18.75">
      <c r="A325" s="11">
        <v>22</v>
      </c>
      <c r="B325" s="67"/>
      <c r="C325" s="1532" t="s">
        <v>647</v>
      </c>
      <c r="D325" s="3"/>
      <c r="E325" s="3"/>
      <c r="F325" s="48"/>
      <c r="G325" s="48"/>
      <c r="H325" s="10"/>
      <c r="I325" s="41" t="s">
        <v>573</v>
      </c>
      <c r="J325" s="1141">
        <f t="shared" si="39"/>
        <v>45100</v>
      </c>
      <c r="K325" s="1395">
        <f>'[1]диагн.'!$N$280</f>
        <v>0.25</v>
      </c>
      <c r="L325" s="1324">
        <f t="shared" si="32"/>
        <v>45100.25</v>
      </c>
      <c r="M325" s="1462">
        <f t="shared" si="40"/>
        <v>4.51</v>
      </c>
      <c r="N325" s="1463">
        <f t="shared" si="33"/>
        <v>0.25</v>
      </c>
      <c r="O325" s="1440">
        <f t="shared" si="38"/>
        <v>4.76</v>
      </c>
      <c r="P325" s="23"/>
      <c r="Q325" s="53"/>
      <c r="R325" s="2514"/>
      <c r="S325" s="2516"/>
      <c r="T325" s="2516"/>
      <c r="U325" s="2516"/>
      <c r="V325" s="2516"/>
      <c r="W325" s="2523">
        <f t="shared" si="31"/>
        <v>45120</v>
      </c>
      <c r="X325" s="2538">
        <f t="shared" si="41"/>
        <v>37600</v>
      </c>
      <c r="Y325" s="2516"/>
      <c r="Z325" s="2516"/>
    </row>
    <row r="326" spans="1:26" s="9" customFormat="1" ht="18.75">
      <c r="A326" s="11">
        <v>23</v>
      </c>
      <c r="B326" s="67"/>
      <c r="C326" s="1532" t="s">
        <v>648</v>
      </c>
      <c r="D326" s="3"/>
      <c r="E326" s="3"/>
      <c r="F326" s="48"/>
      <c r="G326" s="48"/>
      <c r="H326" s="10"/>
      <c r="I326" s="41" t="s">
        <v>573</v>
      </c>
      <c r="J326" s="1141">
        <f t="shared" si="39"/>
        <v>30100</v>
      </c>
      <c r="K326" s="1395">
        <f>'[1]диагн.'!$N$287</f>
        <v>0.25</v>
      </c>
      <c r="L326" s="1324">
        <f t="shared" si="32"/>
        <v>30100.25</v>
      </c>
      <c r="M326" s="1462">
        <f t="shared" si="40"/>
        <v>3.01</v>
      </c>
      <c r="N326" s="1463">
        <f t="shared" si="33"/>
        <v>0.25</v>
      </c>
      <c r="O326" s="1440">
        <f t="shared" si="38"/>
        <v>3.26</v>
      </c>
      <c r="P326" s="23"/>
      <c r="Q326" s="53"/>
      <c r="R326" s="2514"/>
      <c r="S326" s="2516"/>
      <c r="T326" s="2516"/>
      <c r="U326" s="2516"/>
      <c r="V326" s="2516"/>
      <c r="W326" s="2523">
        <f t="shared" si="31"/>
        <v>30120</v>
      </c>
      <c r="X326" s="2538">
        <f t="shared" si="41"/>
        <v>25100</v>
      </c>
      <c r="Y326" s="2516"/>
      <c r="Z326" s="2516"/>
    </row>
    <row r="327" spans="1:26" s="9" customFormat="1" ht="18.75">
      <c r="A327" s="11">
        <v>24</v>
      </c>
      <c r="B327" s="67"/>
      <c r="C327" s="1532" t="s">
        <v>649</v>
      </c>
      <c r="D327" s="3"/>
      <c r="E327" s="3"/>
      <c r="F327" s="48"/>
      <c r="G327" s="48"/>
      <c r="H327" s="10"/>
      <c r="I327" s="41" t="s">
        <v>573</v>
      </c>
      <c r="J327" s="1141">
        <f t="shared" si="39"/>
        <v>45100</v>
      </c>
      <c r="K327" s="1395">
        <f>'[1]диагн.'!$N$294</f>
        <v>0.33999999999999997</v>
      </c>
      <c r="L327" s="1324">
        <f t="shared" si="32"/>
        <v>45100.34</v>
      </c>
      <c r="M327" s="1462">
        <f t="shared" si="40"/>
        <v>4.51</v>
      </c>
      <c r="N327" s="1463">
        <f>K32</f>
        <v>0</v>
      </c>
      <c r="O327" s="1440">
        <f t="shared" si="38"/>
        <v>4.51</v>
      </c>
      <c r="P327" s="23"/>
      <c r="Q327" s="53"/>
      <c r="R327" s="2514"/>
      <c r="S327" s="2516"/>
      <c r="T327" s="2516"/>
      <c r="U327" s="2516"/>
      <c r="V327" s="2516"/>
      <c r="W327" s="2523">
        <f t="shared" si="31"/>
        <v>45120</v>
      </c>
      <c r="X327" s="2538">
        <f t="shared" si="41"/>
        <v>37600</v>
      </c>
      <c r="Y327" s="2516"/>
      <c r="Z327" s="2516"/>
    </row>
    <row r="328" spans="1:26" s="9" customFormat="1" ht="18.75">
      <c r="A328" s="11">
        <v>25</v>
      </c>
      <c r="B328" s="67"/>
      <c r="C328" s="1532" t="s">
        <v>650</v>
      </c>
      <c r="D328" s="3"/>
      <c r="E328" s="3"/>
      <c r="F328" s="48"/>
      <c r="G328" s="48"/>
      <c r="H328" s="10"/>
      <c r="I328" s="41" t="s">
        <v>573</v>
      </c>
      <c r="J328" s="1141">
        <f t="shared" si="39"/>
        <v>45100</v>
      </c>
      <c r="K328" s="1395">
        <f>'[1]диагн.'!$N$301</f>
        <v>0.25</v>
      </c>
      <c r="L328" s="1324">
        <f t="shared" si="32"/>
        <v>45100.25</v>
      </c>
      <c r="M328" s="1462">
        <f t="shared" si="40"/>
        <v>4.51</v>
      </c>
      <c r="N328" s="1463">
        <f aca="true" t="shared" si="42" ref="N328:N339">K328</f>
        <v>0.25</v>
      </c>
      <c r="O328" s="1440">
        <f t="shared" si="38"/>
        <v>4.76</v>
      </c>
      <c r="P328" s="23"/>
      <c r="Q328" s="53"/>
      <c r="R328" s="2514"/>
      <c r="S328" s="2516"/>
      <c r="T328" s="2516"/>
      <c r="U328" s="2516"/>
      <c r="V328" s="2516"/>
      <c r="W328" s="2523">
        <f t="shared" si="31"/>
        <v>45120</v>
      </c>
      <c r="X328" s="2538">
        <f t="shared" si="41"/>
        <v>37600</v>
      </c>
      <c r="Y328" s="2516"/>
      <c r="Z328" s="2516"/>
    </row>
    <row r="329" spans="1:26" s="9" customFormat="1" ht="18.75">
      <c r="A329" s="11">
        <v>26</v>
      </c>
      <c r="B329" s="67"/>
      <c r="C329" s="1532" t="s">
        <v>651</v>
      </c>
      <c r="D329" s="3"/>
      <c r="E329" s="3"/>
      <c r="F329" s="48"/>
      <c r="G329" s="48"/>
      <c r="H329" s="10"/>
      <c r="I329" s="41" t="s">
        <v>573</v>
      </c>
      <c r="J329" s="1141">
        <f t="shared" si="39"/>
        <v>75200</v>
      </c>
      <c r="K329" s="1395">
        <f>'[1]диагн.'!$N$315</f>
        <v>0.33999999999999997</v>
      </c>
      <c r="L329" s="1324">
        <f t="shared" si="32"/>
        <v>75200.34</v>
      </c>
      <c r="M329" s="1462">
        <f t="shared" si="40"/>
        <v>7.52</v>
      </c>
      <c r="N329" s="1463">
        <f t="shared" si="42"/>
        <v>0.33999999999999997</v>
      </c>
      <c r="O329" s="1440">
        <f t="shared" si="38"/>
        <v>7.859999999999999</v>
      </c>
      <c r="P329" s="23"/>
      <c r="Q329" s="53"/>
      <c r="R329" s="2514"/>
      <c r="S329" s="2516"/>
      <c r="T329" s="2516"/>
      <c r="U329" s="2516"/>
      <c r="V329" s="2516"/>
      <c r="W329" s="2523">
        <f t="shared" si="31"/>
        <v>75240</v>
      </c>
      <c r="X329" s="2538">
        <f t="shared" si="41"/>
        <v>62700</v>
      </c>
      <c r="Y329" s="2516"/>
      <c r="Z329" s="2516"/>
    </row>
    <row r="330" spans="1:26" s="9" customFormat="1" ht="18.75">
      <c r="A330" s="11">
        <v>27</v>
      </c>
      <c r="B330" s="67"/>
      <c r="C330" s="1532" t="s">
        <v>652</v>
      </c>
      <c r="D330" s="3"/>
      <c r="E330" s="3"/>
      <c r="F330" s="48"/>
      <c r="G330" s="48"/>
      <c r="H330" s="10"/>
      <c r="I330" s="41" t="s">
        <v>573</v>
      </c>
      <c r="J330" s="1141">
        <f t="shared" si="39"/>
        <v>60200</v>
      </c>
      <c r="K330" s="1395">
        <f>'[1]диагн.'!$N$322</f>
        <v>0.43000000000000005</v>
      </c>
      <c r="L330" s="1324">
        <f t="shared" si="32"/>
        <v>60200.43</v>
      </c>
      <c r="M330" s="1462">
        <f t="shared" si="40"/>
        <v>6.02</v>
      </c>
      <c r="N330" s="1463">
        <f t="shared" si="42"/>
        <v>0.43000000000000005</v>
      </c>
      <c r="O330" s="1440">
        <f t="shared" si="38"/>
        <v>6.449999999999999</v>
      </c>
      <c r="P330" s="23"/>
      <c r="Q330" s="53"/>
      <c r="R330" s="2514"/>
      <c r="S330" s="2516"/>
      <c r="T330" s="2516"/>
      <c r="U330" s="2516"/>
      <c r="V330" s="2516"/>
      <c r="W330" s="2523">
        <f t="shared" si="31"/>
        <v>60240</v>
      </c>
      <c r="X330" s="2538">
        <f t="shared" si="41"/>
        <v>50200</v>
      </c>
      <c r="Y330" s="2516"/>
      <c r="Z330" s="2516"/>
    </row>
    <row r="331" spans="1:26" s="9" customFormat="1" ht="18.75">
      <c r="A331" s="11">
        <v>28</v>
      </c>
      <c r="B331" s="67"/>
      <c r="C331" s="1532" t="s">
        <v>653</v>
      </c>
      <c r="D331" s="3"/>
      <c r="E331" s="3"/>
      <c r="F331" s="48"/>
      <c r="G331" s="48"/>
      <c r="H331" s="10"/>
      <c r="I331" s="41" t="s">
        <v>573</v>
      </c>
      <c r="J331" s="1141">
        <f t="shared" si="39"/>
        <v>30100</v>
      </c>
      <c r="K331" s="1395">
        <f>'[1]диагн.'!$N$336</f>
        <v>0.25</v>
      </c>
      <c r="L331" s="1324">
        <f t="shared" si="32"/>
        <v>30100.25</v>
      </c>
      <c r="M331" s="1462">
        <f t="shared" si="40"/>
        <v>3.01</v>
      </c>
      <c r="N331" s="1463">
        <f t="shared" si="42"/>
        <v>0.25</v>
      </c>
      <c r="O331" s="1440">
        <f t="shared" si="38"/>
        <v>3.26</v>
      </c>
      <c r="P331" s="23"/>
      <c r="Q331" s="53"/>
      <c r="R331" s="2514"/>
      <c r="S331" s="2516"/>
      <c r="T331" s="2516"/>
      <c r="U331" s="2516"/>
      <c r="V331" s="2516"/>
      <c r="W331" s="2523">
        <f t="shared" si="31"/>
        <v>30120</v>
      </c>
      <c r="X331" s="2538">
        <f t="shared" si="41"/>
        <v>25100</v>
      </c>
      <c r="Y331" s="2516"/>
      <c r="Z331" s="2516"/>
    </row>
    <row r="332" spans="1:26" s="9" customFormat="1" ht="18.75">
      <c r="A332" s="11">
        <v>29</v>
      </c>
      <c r="B332" s="67"/>
      <c r="C332" s="1532" t="s">
        <v>654</v>
      </c>
      <c r="D332" s="3"/>
      <c r="E332" s="3"/>
      <c r="F332" s="48"/>
      <c r="G332" s="48"/>
      <c r="H332" s="10"/>
      <c r="I332" s="41" t="s">
        <v>573</v>
      </c>
      <c r="J332" s="1141">
        <f t="shared" si="39"/>
        <v>30100</v>
      </c>
      <c r="K332" s="1395">
        <f>'[1]диагн.'!$N$343</f>
        <v>0.25</v>
      </c>
      <c r="L332" s="1324">
        <f t="shared" si="32"/>
        <v>30100.25</v>
      </c>
      <c r="M332" s="1462">
        <f t="shared" si="40"/>
        <v>3.01</v>
      </c>
      <c r="N332" s="1463">
        <f t="shared" si="42"/>
        <v>0.25</v>
      </c>
      <c r="O332" s="1440">
        <f t="shared" si="38"/>
        <v>3.26</v>
      </c>
      <c r="P332" s="23"/>
      <c r="Q332" s="53"/>
      <c r="R332" s="2514"/>
      <c r="S332" s="2516"/>
      <c r="T332" s="2516"/>
      <c r="U332" s="2516"/>
      <c r="V332" s="2516"/>
      <c r="W332" s="2523">
        <f t="shared" si="31"/>
        <v>30120</v>
      </c>
      <c r="X332" s="2538">
        <f t="shared" si="41"/>
        <v>25100</v>
      </c>
      <c r="Y332" s="2516"/>
      <c r="Z332" s="2516"/>
    </row>
    <row r="333" spans="1:26" s="9" customFormat="1" ht="18.75">
      <c r="A333" s="11">
        <v>30</v>
      </c>
      <c r="B333" s="67"/>
      <c r="C333" s="1532" t="s">
        <v>655</v>
      </c>
      <c r="D333" s="3"/>
      <c r="E333" s="3"/>
      <c r="F333" s="48"/>
      <c r="G333" s="48"/>
      <c r="H333" s="10"/>
      <c r="I333" s="41" t="s">
        <v>573</v>
      </c>
      <c r="J333" s="1141">
        <f t="shared" si="39"/>
        <v>15100</v>
      </c>
      <c r="K333" s="1395">
        <f>'[1]диагн.'!$N$376</f>
        <v>0.09</v>
      </c>
      <c r="L333" s="1324">
        <f t="shared" si="32"/>
        <v>15100.09</v>
      </c>
      <c r="M333" s="1462">
        <f t="shared" si="40"/>
        <v>1.51</v>
      </c>
      <c r="N333" s="1463">
        <f t="shared" si="42"/>
        <v>0.09</v>
      </c>
      <c r="O333" s="1440">
        <f t="shared" si="38"/>
        <v>1.6</v>
      </c>
      <c r="P333" s="23"/>
      <c r="Q333" s="53"/>
      <c r="R333" s="2514"/>
      <c r="S333" s="2516"/>
      <c r="T333" s="2516"/>
      <c r="U333" s="2516"/>
      <c r="V333" s="2516"/>
      <c r="W333" s="2523">
        <f t="shared" si="31"/>
        <v>15120</v>
      </c>
      <c r="X333" s="2538">
        <f t="shared" si="41"/>
        <v>12600</v>
      </c>
      <c r="Y333" s="2516"/>
      <c r="Z333" s="2516"/>
    </row>
    <row r="334" spans="1:26" s="9" customFormat="1" ht="18.75">
      <c r="A334" s="11">
        <v>31</v>
      </c>
      <c r="B334" s="67"/>
      <c r="C334" s="1532" t="s">
        <v>661</v>
      </c>
      <c r="D334" s="3"/>
      <c r="E334" s="3"/>
      <c r="F334" s="48"/>
      <c r="G334" s="48"/>
      <c r="H334" s="10"/>
      <c r="I334" s="41" t="s">
        <v>573</v>
      </c>
      <c r="J334" s="1141">
        <v>168000</v>
      </c>
      <c r="K334" s="1395">
        <f>'[1]диагн.'!$N$393</f>
        <v>16.19</v>
      </c>
      <c r="L334" s="1324">
        <f t="shared" si="32"/>
        <v>168016.19</v>
      </c>
      <c r="M334" s="1462">
        <f>J334/10000</f>
        <v>16.8</v>
      </c>
      <c r="N334" s="1463">
        <f t="shared" si="42"/>
        <v>16.19</v>
      </c>
      <c r="O334" s="1440">
        <f aca="true" t="shared" si="43" ref="O334:O339">SUM(M334:N334)</f>
        <v>32.99</v>
      </c>
      <c r="P334" s="23"/>
      <c r="Q334" s="817">
        <f>L334-59800</f>
        <v>108216.19</v>
      </c>
      <c r="R334" s="2514">
        <f>J334*1.15</f>
        <v>193199.99999999997</v>
      </c>
      <c r="S334" s="2516"/>
      <c r="T334" s="2516"/>
      <c r="U334" s="2516"/>
      <c r="V334" s="2516"/>
      <c r="W334" s="2523">
        <f t="shared" si="31"/>
        <v>168000</v>
      </c>
      <c r="X334" s="2538">
        <v>140000</v>
      </c>
      <c r="Y334" s="2516"/>
      <c r="Z334" s="2516"/>
    </row>
    <row r="335" spans="1:26" s="9" customFormat="1" ht="18.75">
      <c r="A335" s="11">
        <v>32</v>
      </c>
      <c r="B335" s="67"/>
      <c r="C335" s="1532" t="s">
        <v>662</v>
      </c>
      <c r="D335" s="3"/>
      <c r="E335" s="3"/>
      <c r="F335" s="48"/>
      <c r="G335" s="48"/>
      <c r="H335" s="10"/>
      <c r="I335" s="41" t="s">
        <v>573</v>
      </c>
      <c r="J335" s="1141">
        <v>193200</v>
      </c>
      <c r="K335" s="1395">
        <f>'[1]диагн.'!$N$404</f>
        <v>21.146</v>
      </c>
      <c r="L335" s="1324">
        <f t="shared" si="32"/>
        <v>193221.146</v>
      </c>
      <c r="M335" s="1462">
        <f>J335/10000</f>
        <v>19.32</v>
      </c>
      <c r="N335" s="1463">
        <f t="shared" si="42"/>
        <v>21.146</v>
      </c>
      <c r="O335" s="1440">
        <f t="shared" si="43"/>
        <v>40.466</v>
      </c>
      <c r="P335" s="23"/>
      <c r="Q335" s="817">
        <f>L335-95950</f>
        <v>97271.14600000001</v>
      </c>
      <c r="R335" s="2514">
        <f>J335*1.15</f>
        <v>222179.99999999997</v>
      </c>
      <c r="S335" s="2516"/>
      <c r="T335" s="2516"/>
      <c r="U335" s="2516"/>
      <c r="V335" s="2516"/>
      <c r="W335" s="2523">
        <f t="shared" si="31"/>
        <v>193200</v>
      </c>
      <c r="X335" s="2538">
        <v>161000</v>
      </c>
      <c r="Y335" s="2516"/>
      <c r="Z335" s="2516"/>
    </row>
    <row r="336" spans="1:26" s="9" customFormat="1" ht="18.75">
      <c r="A336" s="11">
        <v>33</v>
      </c>
      <c r="B336" s="67"/>
      <c r="C336" s="1532" t="s">
        <v>663</v>
      </c>
      <c r="D336" s="3"/>
      <c r="E336" s="3"/>
      <c r="F336" s="48"/>
      <c r="G336" s="48"/>
      <c r="H336" s="10"/>
      <c r="I336" s="41" t="s">
        <v>573</v>
      </c>
      <c r="J336" s="1141">
        <v>97200</v>
      </c>
      <c r="K336" s="1395">
        <f>'[1]диагн.'!$N$415</f>
        <v>0.51</v>
      </c>
      <c r="L336" s="1324">
        <f t="shared" si="32"/>
        <v>97200.51</v>
      </c>
      <c r="M336" s="1462">
        <f>J336/10000</f>
        <v>9.72</v>
      </c>
      <c r="N336" s="1463">
        <f t="shared" si="42"/>
        <v>0.51</v>
      </c>
      <c r="O336" s="1440">
        <f t="shared" si="43"/>
        <v>10.23</v>
      </c>
      <c r="P336" s="23"/>
      <c r="Q336" s="53"/>
      <c r="R336" s="2514">
        <f>J336*1.15</f>
        <v>111779.99999999999</v>
      </c>
      <c r="S336" s="2516"/>
      <c r="T336" s="2516"/>
      <c r="U336" s="2516"/>
      <c r="V336" s="2516"/>
      <c r="W336" s="2523">
        <f t="shared" si="31"/>
        <v>97200</v>
      </c>
      <c r="X336" s="2538">
        <v>81000</v>
      </c>
      <c r="Y336" s="2516"/>
      <c r="Z336" s="2516"/>
    </row>
    <row r="337" spans="1:26" s="9" customFormat="1" ht="18.75">
      <c r="A337" s="11">
        <v>34</v>
      </c>
      <c r="B337" s="67"/>
      <c r="C337" s="1532" t="s">
        <v>664</v>
      </c>
      <c r="D337" s="3"/>
      <c r="E337" s="3"/>
      <c r="F337" s="48"/>
      <c r="G337" s="48"/>
      <c r="H337" s="10"/>
      <c r="I337" s="41" t="s">
        <v>573</v>
      </c>
      <c r="J337" s="1141">
        <v>97200</v>
      </c>
      <c r="K337" s="1395">
        <f>'[1]диагн.'!$N$426</f>
        <v>0.888</v>
      </c>
      <c r="L337" s="1324">
        <f t="shared" si="32"/>
        <v>97200.888</v>
      </c>
      <c r="M337" s="1462">
        <f>J337/10000</f>
        <v>9.72</v>
      </c>
      <c r="N337" s="1463">
        <f t="shared" si="42"/>
        <v>0.888</v>
      </c>
      <c r="O337" s="1440">
        <f t="shared" si="43"/>
        <v>10.608</v>
      </c>
      <c r="P337" s="23"/>
      <c r="Q337" s="53"/>
      <c r="R337" s="2514">
        <f>J337*1.15</f>
        <v>111779.99999999999</v>
      </c>
      <c r="S337" s="2516"/>
      <c r="T337" s="2516"/>
      <c r="U337" s="2516"/>
      <c r="V337" s="2516"/>
      <c r="W337" s="2523">
        <f t="shared" si="31"/>
        <v>97200</v>
      </c>
      <c r="X337" s="2538">
        <v>81000</v>
      </c>
      <c r="Y337" s="2516"/>
      <c r="Z337" s="2516"/>
    </row>
    <row r="338" spans="1:26" s="9" customFormat="1" ht="18.75">
      <c r="A338" s="11">
        <v>35</v>
      </c>
      <c r="B338" s="67"/>
      <c r="C338" s="1532" t="s">
        <v>665</v>
      </c>
      <c r="D338" s="3"/>
      <c r="E338" s="3"/>
      <c r="F338" s="48"/>
      <c r="G338" s="48"/>
      <c r="H338" s="10"/>
      <c r="I338" s="41" t="s">
        <v>573</v>
      </c>
      <c r="J338" s="1141">
        <v>188900</v>
      </c>
      <c r="K338" s="1395">
        <f>'[1]диагн.'!$N$437</f>
        <v>15.386</v>
      </c>
      <c r="L338" s="1324">
        <f t="shared" si="32"/>
        <v>188915.386</v>
      </c>
      <c r="M338" s="1462">
        <f>J338/10000</f>
        <v>18.89</v>
      </c>
      <c r="N338" s="1463">
        <f t="shared" si="42"/>
        <v>15.386</v>
      </c>
      <c r="O338" s="1440">
        <f t="shared" si="43"/>
        <v>34.275999999999996</v>
      </c>
      <c r="P338" s="23"/>
      <c r="Q338" s="817">
        <f>L338-83550</f>
        <v>105365.386</v>
      </c>
      <c r="R338" s="2514">
        <f>J338*1.15</f>
        <v>217234.99999999997</v>
      </c>
      <c r="S338" s="2516"/>
      <c r="T338" s="2516"/>
      <c r="U338" s="2516"/>
      <c r="V338" s="2516"/>
      <c r="W338" s="2523">
        <f t="shared" si="31"/>
        <v>188880</v>
      </c>
      <c r="X338" s="2538">
        <v>157400</v>
      </c>
      <c r="Y338" s="2516"/>
      <c r="Z338" s="2516"/>
    </row>
    <row r="339" spans="1:26" s="9" customFormat="1" ht="18.75">
      <c r="A339" s="11">
        <v>36</v>
      </c>
      <c r="B339" s="67"/>
      <c r="C339" s="1532" t="s">
        <v>656</v>
      </c>
      <c r="D339" s="3"/>
      <c r="E339" s="3"/>
      <c r="F339" s="48"/>
      <c r="G339" s="48"/>
      <c r="H339" s="10"/>
      <c r="I339" s="41" t="s">
        <v>573</v>
      </c>
      <c r="J339" s="1141">
        <f>J293</f>
        <v>34800</v>
      </c>
      <c r="K339" s="1388"/>
      <c r="L339" s="1324">
        <f t="shared" si="32"/>
        <v>34800</v>
      </c>
      <c r="M339" s="1462">
        <f>M293</f>
        <v>3.48</v>
      </c>
      <c r="N339" s="1463">
        <f t="shared" si="42"/>
        <v>0</v>
      </c>
      <c r="O339" s="1440">
        <f t="shared" si="43"/>
        <v>3.48</v>
      </c>
      <c r="P339" s="23"/>
      <c r="Q339" s="53"/>
      <c r="R339" s="2514"/>
      <c r="S339" s="2516"/>
      <c r="T339" s="2516"/>
      <c r="U339" s="2516"/>
      <c r="V339" s="2516"/>
      <c r="W339" s="2523">
        <f t="shared" si="31"/>
        <v>34800</v>
      </c>
      <c r="X339" s="2538">
        <f>X293</f>
        <v>29000</v>
      </c>
      <c r="Y339" s="2516"/>
      <c r="Z339" s="2516"/>
    </row>
    <row r="340" spans="1:26" s="9" customFormat="1" ht="18">
      <c r="A340" s="68"/>
      <c r="B340" s="67"/>
      <c r="C340" s="1532" t="s">
        <v>657</v>
      </c>
      <c r="D340" s="3"/>
      <c r="E340" s="3"/>
      <c r="F340" s="48"/>
      <c r="G340" s="48"/>
      <c r="H340" s="10"/>
      <c r="I340" s="41"/>
      <c r="J340" s="951"/>
      <c r="K340" s="1328"/>
      <c r="L340" s="1326"/>
      <c r="M340" s="1462"/>
      <c r="N340" s="1465"/>
      <c r="O340" s="1442"/>
      <c r="P340" s="23"/>
      <c r="Q340" s="53"/>
      <c r="R340" s="2516"/>
      <c r="S340" s="2516"/>
      <c r="T340" s="2516"/>
      <c r="U340" s="2516"/>
      <c r="V340" s="2516"/>
      <c r="W340" s="2523">
        <f t="shared" si="31"/>
        <v>0</v>
      </c>
      <c r="X340" s="2538"/>
      <c r="Y340" s="2516"/>
      <c r="Z340" s="2516"/>
    </row>
    <row r="341" spans="1:26" s="9" customFormat="1" ht="18">
      <c r="A341" s="68"/>
      <c r="B341" s="67"/>
      <c r="C341" s="26"/>
      <c r="D341" s="3"/>
      <c r="E341" s="3"/>
      <c r="F341" s="48"/>
      <c r="G341" s="48"/>
      <c r="H341" s="10"/>
      <c r="I341" s="41"/>
      <c r="J341" s="951"/>
      <c r="K341" s="1328"/>
      <c r="L341" s="1326"/>
      <c r="M341" s="1462"/>
      <c r="N341" s="1465"/>
      <c r="O341" s="1442"/>
      <c r="P341" s="23"/>
      <c r="Q341" s="53"/>
      <c r="R341" s="2516"/>
      <c r="S341" s="2516"/>
      <c r="T341" s="2516"/>
      <c r="U341" s="2516"/>
      <c r="V341" s="2516"/>
      <c r="W341" s="2523">
        <f t="shared" si="31"/>
        <v>0</v>
      </c>
      <c r="X341" s="2538"/>
      <c r="Y341" s="2516"/>
      <c r="Z341" s="2516"/>
    </row>
    <row r="342" spans="1:26" s="9" customFormat="1" ht="18">
      <c r="A342" s="68"/>
      <c r="B342" s="499" t="s">
        <v>622</v>
      </c>
      <c r="C342" s="500" t="s">
        <v>388</v>
      </c>
      <c r="D342" s="3"/>
      <c r="E342" s="3"/>
      <c r="F342" s="48"/>
      <c r="G342" s="48"/>
      <c r="H342" s="10"/>
      <c r="I342" s="41"/>
      <c r="J342" s="951"/>
      <c r="K342" s="1328"/>
      <c r="L342" s="1326"/>
      <c r="M342" s="1462"/>
      <c r="N342" s="1465"/>
      <c r="O342" s="1442"/>
      <c r="P342" s="23"/>
      <c r="Q342" s="53"/>
      <c r="R342" s="2516"/>
      <c r="S342" s="2516"/>
      <c r="T342" s="2516"/>
      <c r="U342" s="2516"/>
      <c r="V342" s="2516"/>
      <c r="W342" s="2523">
        <f t="shared" si="31"/>
        <v>0</v>
      </c>
      <c r="X342" s="2538"/>
      <c r="Y342" s="2516"/>
      <c r="Z342" s="2516"/>
    </row>
    <row r="343" spans="1:26" s="9" customFormat="1" ht="18.75">
      <c r="A343" s="68" t="s">
        <v>781</v>
      </c>
      <c r="B343" s="67"/>
      <c r="C343" s="1544" t="s">
        <v>389</v>
      </c>
      <c r="D343" s="639"/>
      <c r="E343" s="639"/>
      <c r="F343" s="640"/>
      <c r="G343" s="640"/>
      <c r="H343" s="724"/>
      <c r="I343" s="672" t="s">
        <v>573</v>
      </c>
      <c r="J343" s="1142">
        <v>45600</v>
      </c>
      <c r="K343" s="1359">
        <f>'[1]диагн.'!$G$992</f>
        <v>0.64</v>
      </c>
      <c r="L343" s="1338">
        <f>SUM(J343:K343)</f>
        <v>45600.64</v>
      </c>
      <c r="M343" s="1462">
        <f>J343/10000</f>
        <v>4.56</v>
      </c>
      <c r="N343" s="1463">
        <f>K343</f>
        <v>0.64</v>
      </c>
      <c r="O343" s="1440">
        <f>SUM(M343:N343)</f>
        <v>5.199999999999999</v>
      </c>
      <c r="P343" s="23"/>
      <c r="Q343" s="53"/>
      <c r="R343" s="2516"/>
      <c r="S343" s="2516"/>
      <c r="T343" s="2516"/>
      <c r="U343" s="2516"/>
      <c r="V343" s="2516"/>
      <c r="W343" s="2523">
        <f aca="true" t="shared" si="44" ref="W343:W438">X343*1.2</f>
        <v>45600</v>
      </c>
      <c r="X343" s="2538">
        <v>38000</v>
      </c>
      <c r="Y343" s="2516"/>
      <c r="Z343" s="2516"/>
    </row>
    <row r="344" spans="1:26" s="9" customFormat="1" ht="18">
      <c r="A344" s="68"/>
      <c r="B344" s="67"/>
      <c r="C344" s="26"/>
      <c r="D344" s="3"/>
      <c r="E344" s="3"/>
      <c r="F344" s="48"/>
      <c r="G344" s="48"/>
      <c r="H344" s="10"/>
      <c r="I344" s="41"/>
      <c r="J344" s="1141"/>
      <c r="K344" s="1347"/>
      <c r="L344" s="1326"/>
      <c r="M344" s="1462"/>
      <c r="N344" s="1465"/>
      <c r="O344" s="1442"/>
      <c r="P344" s="23"/>
      <c r="Q344" s="53"/>
      <c r="R344" s="2516"/>
      <c r="S344" s="2516"/>
      <c r="T344" s="2516"/>
      <c r="U344" s="2516"/>
      <c r="V344" s="2516"/>
      <c r="W344" s="2523">
        <f t="shared" si="44"/>
        <v>0</v>
      </c>
      <c r="X344" s="2538"/>
      <c r="Y344" s="2516"/>
      <c r="Z344" s="2516"/>
    </row>
    <row r="345" spans="1:26" s="9" customFormat="1" ht="18">
      <c r="A345" s="1075"/>
      <c r="B345" s="1568" t="s">
        <v>511</v>
      </c>
      <c r="C345" s="1077"/>
      <c r="D345" s="1077"/>
      <c r="E345" s="1077"/>
      <c r="F345" s="1077"/>
      <c r="G345" s="1077"/>
      <c r="H345" s="1077"/>
      <c r="I345" s="1105"/>
      <c r="J345" s="1073"/>
      <c r="K345" s="1074"/>
      <c r="L345" s="1106"/>
      <c r="M345" s="1462"/>
      <c r="N345" s="1465"/>
      <c r="O345" s="1442"/>
      <c r="P345" s="23"/>
      <c r="Q345" s="53"/>
      <c r="R345" s="2516"/>
      <c r="S345" s="2516"/>
      <c r="T345" s="2516"/>
      <c r="U345" s="2516"/>
      <c r="V345" s="2516"/>
      <c r="W345" s="2523"/>
      <c r="X345" s="2538"/>
      <c r="Y345" s="2516"/>
      <c r="Z345" s="2516"/>
    </row>
    <row r="346" spans="1:26" s="9" customFormat="1" ht="18">
      <c r="A346" s="1075"/>
      <c r="B346" s="1078" t="s">
        <v>622</v>
      </c>
      <c r="C346" s="1569" t="s">
        <v>623</v>
      </c>
      <c r="D346" s="1077"/>
      <c r="E346" s="1077"/>
      <c r="F346" s="1077"/>
      <c r="G346" s="1077"/>
      <c r="H346" s="1077"/>
      <c r="I346" s="1105"/>
      <c r="J346" s="1073"/>
      <c r="K346" s="1074"/>
      <c r="L346" s="1106"/>
      <c r="M346" s="1462"/>
      <c r="N346" s="1465"/>
      <c r="O346" s="1442"/>
      <c r="P346" s="23"/>
      <c r="Q346" s="53"/>
      <c r="R346" s="2516"/>
      <c r="S346" s="2516"/>
      <c r="T346" s="2516"/>
      <c r="U346" s="2516"/>
      <c r="V346" s="2516"/>
      <c r="W346" s="2523"/>
      <c r="X346" s="2538"/>
      <c r="Y346" s="2516"/>
      <c r="Z346" s="2516"/>
    </row>
    <row r="347" spans="1:26" s="9" customFormat="1" ht="18.75">
      <c r="A347" s="1107">
        <v>1</v>
      </c>
      <c r="B347" s="1076"/>
      <c r="C347" s="1570" t="s">
        <v>624</v>
      </c>
      <c r="D347" s="1077"/>
      <c r="E347" s="1077"/>
      <c r="F347" s="1077"/>
      <c r="G347" s="1077"/>
      <c r="H347" s="1077"/>
      <c r="I347" s="1575" t="s">
        <v>573</v>
      </c>
      <c r="J347" s="1400">
        <f>Лист1!J24</f>
        <v>30100</v>
      </c>
      <c r="K347" s="1573">
        <f>Лист1!K24</f>
        <v>0.16</v>
      </c>
      <c r="L347" s="1324">
        <f aca="true" t="shared" si="45" ref="L347:L374">SUM(J347:K347)</f>
        <v>30100.16</v>
      </c>
      <c r="M347" s="1462">
        <f>J347/10000</f>
        <v>3.01</v>
      </c>
      <c r="N347" s="1463">
        <f>K347</f>
        <v>0.16</v>
      </c>
      <c r="O347" s="1440">
        <f aca="true" t="shared" si="46" ref="O347:O374">SUM(M347:N347)</f>
        <v>3.17</v>
      </c>
      <c r="P347" s="23"/>
      <c r="Q347" s="53"/>
      <c r="R347" s="2516"/>
      <c r="S347" s="2516"/>
      <c r="T347" s="2516"/>
      <c r="U347" s="2516"/>
      <c r="V347" s="2516"/>
      <c r="W347" s="2523"/>
      <c r="X347" s="2538"/>
      <c r="Y347" s="2516"/>
      <c r="Z347" s="2516"/>
    </row>
    <row r="348" spans="1:26" s="9" customFormat="1" ht="18.75">
      <c r="A348" s="1107">
        <v>2</v>
      </c>
      <c r="B348" s="1076"/>
      <c r="C348" s="1570" t="s">
        <v>625</v>
      </c>
      <c r="D348" s="1077"/>
      <c r="E348" s="1077"/>
      <c r="F348" s="1077"/>
      <c r="G348" s="1574" t="s">
        <v>626</v>
      </c>
      <c r="H348" s="1077"/>
      <c r="I348" s="1575" t="s">
        <v>573</v>
      </c>
      <c r="J348" s="1400">
        <f>Лист1!J25</f>
        <v>30100</v>
      </c>
      <c r="K348" s="1573">
        <f>Лист1!K25</f>
        <v>4.69</v>
      </c>
      <c r="L348" s="1324">
        <f t="shared" si="45"/>
        <v>30104.69</v>
      </c>
      <c r="M348" s="1462">
        <f>J348/10000</f>
        <v>3.01</v>
      </c>
      <c r="N348" s="1463">
        <f>K348</f>
        <v>4.69</v>
      </c>
      <c r="O348" s="1440">
        <f t="shared" si="46"/>
        <v>7.7</v>
      </c>
      <c r="P348" s="23"/>
      <c r="Q348" s="53"/>
      <c r="R348" s="2516"/>
      <c r="S348" s="2516"/>
      <c r="T348" s="2516"/>
      <c r="U348" s="2516"/>
      <c r="V348" s="2516"/>
      <c r="W348" s="2523"/>
      <c r="X348" s="2538"/>
      <c r="Y348" s="2516"/>
      <c r="Z348" s="2516"/>
    </row>
    <row r="349" spans="1:26" s="9" customFormat="1" ht="18.75">
      <c r="A349" s="1107"/>
      <c r="B349" s="1076"/>
      <c r="C349" s="1570"/>
      <c r="D349" s="1077"/>
      <c r="E349" s="1077"/>
      <c r="F349" s="1077"/>
      <c r="G349" s="1574" t="s">
        <v>627</v>
      </c>
      <c r="H349" s="1077"/>
      <c r="I349" s="1575" t="s">
        <v>573</v>
      </c>
      <c r="J349" s="1400">
        <f>Лист1!J26</f>
        <v>45100</v>
      </c>
      <c r="K349" s="1573">
        <f>Лист1!K26</f>
        <v>4.69</v>
      </c>
      <c r="L349" s="1324">
        <f t="shared" si="45"/>
        <v>45104.69</v>
      </c>
      <c r="M349" s="1462">
        <f aca="true" t="shared" si="47" ref="M349:M374">J349/10000</f>
        <v>4.51</v>
      </c>
      <c r="N349" s="1463">
        <f>K349</f>
        <v>4.69</v>
      </c>
      <c r="O349" s="1440">
        <f t="shared" si="46"/>
        <v>9.2</v>
      </c>
      <c r="P349" s="23"/>
      <c r="Q349" s="53"/>
      <c r="R349" s="2516"/>
      <c r="S349" s="2516"/>
      <c r="T349" s="2516"/>
      <c r="U349" s="2516"/>
      <c r="V349" s="2516"/>
      <c r="W349" s="2523"/>
      <c r="X349" s="2538"/>
      <c r="Y349" s="2516"/>
      <c r="Z349" s="2516"/>
    </row>
    <row r="350" spans="1:26" s="9" customFormat="1" ht="18.75">
      <c r="A350" s="1107">
        <v>3</v>
      </c>
      <c r="B350" s="1076"/>
      <c r="C350" s="1570" t="s">
        <v>631</v>
      </c>
      <c r="D350" s="1077"/>
      <c r="E350" s="1077"/>
      <c r="F350" s="1077"/>
      <c r="G350" s="1574"/>
      <c r="H350" s="1077"/>
      <c r="I350" s="1575" t="s">
        <v>573</v>
      </c>
      <c r="J350" s="1400">
        <f>Лист1!J27</f>
        <v>45100</v>
      </c>
      <c r="K350" s="1573">
        <f>Лист1!K27</f>
        <v>5.6850000000000005</v>
      </c>
      <c r="L350" s="1324">
        <f t="shared" si="45"/>
        <v>45105.685</v>
      </c>
      <c r="M350" s="1462">
        <f t="shared" si="47"/>
        <v>4.51</v>
      </c>
      <c r="N350" s="1463">
        <f>K350</f>
        <v>5.6850000000000005</v>
      </c>
      <c r="O350" s="1440">
        <f t="shared" si="46"/>
        <v>10.195</v>
      </c>
      <c r="P350" s="23"/>
      <c r="Q350" s="53"/>
      <c r="R350" s="2516"/>
      <c r="S350" s="2516"/>
      <c r="T350" s="2516"/>
      <c r="U350" s="2516"/>
      <c r="V350" s="2516"/>
      <c r="W350" s="2523"/>
      <c r="X350" s="2538"/>
      <c r="Y350" s="2516"/>
      <c r="Z350" s="2516"/>
    </row>
    <row r="351" spans="1:26" s="9" customFormat="1" ht="18.75">
      <c r="A351" s="1107">
        <v>4</v>
      </c>
      <c r="B351" s="1076"/>
      <c r="C351" s="1570" t="s">
        <v>632</v>
      </c>
      <c r="D351" s="1077"/>
      <c r="E351" s="1077"/>
      <c r="F351" s="1077"/>
      <c r="G351" s="1574"/>
      <c r="H351" s="1077"/>
      <c r="I351" s="1575" t="s">
        <v>573</v>
      </c>
      <c r="J351" s="1400">
        <f>Лист1!J28</f>
        <v>30100</v>
      </c>
      <c r="K351" s="1573">
        <f>Лист1!K28</f>
        <v>46900</v>
      </c>
      <c r="L351" s="1324">
        <f t="shared" si="45"/>
        <v>77000</v>
      </c>
      <c r="M351" s="1462">
        <f t="shared" si="47"/>
        <v>3.01</v>
      </c>
      <c r="N351" s="1463">
        <f>K351/10000</f>
        <v>4.69</v>
      </c>
      <c r="O351" s="1440">
        <f t="shared" si="46"/>
        <v>7.7</v>
      </c>
      <c r="P351" s="23"/>
      <c r="Q351" s="53"/>
      <c r="R351" s="2516"/>
      <c r="S351" s="2516"/>
      <c r="T351" s="2516"/>
      <c r="U351" s="2516"/>
      <c r="V351" s="2516"/>
      <c r="W351" s="2523"/>
      <c r="X351" s="2538"/>
      <c r="Y351" s="2516"/>
      <c r="Z351" s="2516"/>
    </row>
    <row r="352" spans="1:26" s="9" customFormat="1" ht="18.75">
      <c r="A352" s="1107">
        <v>5</v>
      </c>
      <c r="B352" s="1076"/>
      <c r="C352" s="1570" t="s">
        <v>636</v>
      </c>
      <c r="D352" s="1077"/>
      <c r="E352" s="1077"/>
      <c r="F352" s="1077"/>
      <c r="G352" s="1574"/>
      <c r="H352" s="1077"/>
      <c r="I352" s="1575" t="s">
        <v>573</v>
      </c>
      <c r="J352" s="1400">
        <f>Лист1!J29</f>
        <v>30100</v>
      </c>
      <c r="K352" s="1573">
        <f>Лист1!K29</f>
        <v>0.16</v>
      </c>
      <c r="L352" s="1324">
        <f t="shared" si="45"/>
        <v>30100.16</v>
      </c>
      <c r="M352" s="1462">
        <f t="shared" si="47"/>
        <v>3.01</v>
      </c>
      <c r="N352" s="1463">
        <f>K352</f>
        <v>0.16</v>
      </c>
      <c r="O352" s="1440">
        <f t="shared" si="46"/>
        <v>3.17</v>
      </c>
      <c r="P352" s="23"/>
      <c r="Q352" s="53"/>
      <c r="R352" s="2516"/>
      <c r="S352" s="2516"/>
      <c r="T352" s="2516"/>
      <c r="U352" s="2516"/>
      <c r="V352" s="2516"/>
      <c r="W352" s="2523"/>
      <c r="X352" s="2538"/>
      <c r="Y352" s="2516"/>
      <c r="Z352" s="2516"/>
    </row>
    <row r="353" spans="1:26" s="9" customFormat="1" ht="18.75">
      <c r="A353" s="1107">
        <v>6</v>
      </c>
      <c r="B353" s="1076"/>
      <c r="C353" s="1570" t="s">
        <v>637</v>
      </c>
      <c r="D353" s="1077"/>
      <c r="E353" s="1077"/>
      <c r="F353" s="1077"/>
      <c r="G353" s="1574"/>
      <c r="H353" s="1077"/>
      <c r="I353" s="1575" t="s">
        <v>573</v>
      </c>
      <c r="J353" s="1400">
        <f>Лист1!J30</f>
        <v>45100</v>
      </c>
      <c r="K353" s="1573">
        <f>Лист1!K30</f>
        <v>4.69</v>
      </c>
      <c r="L353" s="1324">
        <f t="shared" si="45"/>
        <v>45104.69</v>
      </c>
      <c r="M353" s="1462">
        <f t="shared" si="47"/>
        <v>4.51</v>
      </c>
      <c r="N353" s="1463">
        <f>K353</f>
        <v>4.69</v>
      </c>
      <c r="O353" s="1440">
        <f t="shared" si="46"/>
        <v>9.2</v>
      </c>
      <c r="P353" s="23"/>
      <c r="Q353" s="53"/>
      <c r="R353" s="2516"/>
      <c r="S353" s="2516"/>
      <c r="T353" s="2516"/>
      <c r="U353" s="2516"/>
      <c r="V353" s="2516"/>
      <c r="W353" s="2523"/>
      <c r="X353" s="2538"/>
      <c r="Y353" s="2516"/>
      <c r="Z353" s="2516"/>
    </row>
    <row r="354" spans="1:26" s="9" customFormat="1" ht="18.75">
      <c r="A354" s="1107">
        <v>7</v>
      </c>
      <c r="B354" s="1076"/>
      <c r="C354" s="1570" t="s">
        <v>638</v>
      </c>
      <c r="D354" s="1077"/>
      <c r="E354" s="1077"/>
      <c r="F354" s="1077"/>
      <c r="G354" s="1574"/>
      <c r="H354" s="1077"/>
      <c r="I354" s="1575" t="s">
        <v>573</v>
      </c>
      <c r="J354" s="1400">
        <f>Лист1!J31</f>
        <v>30100</v>
      </c>
      <c r="K354" s="1573">
        <f>Лист1!K31</f>
        <v>6.680000000000001</v>
      </c>
      <c r="L354" s="1324">
        <f t="shared" si="45"/>
        <v>30106.68</v>
      </c>
      <c r="M354" s="1462">
        <f t="shared" si="47"/>
        <v>3.01</v>
      </c>
      <c r="N354" s="1463">
        <f>K354</f>
        <v>6.680000000000001</v>
      </c>
      <c r="O354" s="1440">
        <f t="shared" si="46"/>
        <v>9.690000000000001</v>
      </c>
      <c r="P354" s="23"/>
      <c r="Q354" s="53"/>
      <c r="R354" s="2516"/>
      <c r="S354" s="2516"/>
      <c r="T354" s="2516"/>
      <c r="U354" s="2516"/>
      <c r="V354" s="2516"/>
      <c r="W354" s="2523"/>
      <c r="X354" s="2538"/>
      <c r="Y354" s="2516"/>
      <c r="Z354" s="2516"/>
    </row>
    <row r="355" spans="1:26" s="9" customFormat="1" ht="18.75">
      <c r="A355" s="1107">
        <v>8</v>
      </c>
      <c r="B355" s="1076"/>
      <c r="C355" s="1570" t="s">
        <v>639</v>
      </c>
      <c r="D355" s="1077"/>
      <c r="E355" s="1077"/>
      <c r="F355" s="1077"/>
      <c r="G355" s="1574"/>
      <c r="H355" s="1077"/>
      <c r="I355" s="1575" t="s">
        <v>573</v>
      </c>
      <c r="J355" s="1400">
        <f>Лист1!J32</f>
        <v>60200</v>
      </c>
      <c r="K355" s="1573">
        <f>Лист1!K32</f>
        <v>6.680000000000001</v>
      </c>
      <c r="L355" s="1324">
        <f t="shared" si="45"/>
        <v>60206.68</v>
      </c>
      <c r="M355" s="1462">
        <f t="shared" si="47"/>
        <v>6.02</v>
      </c>
      <c r="N355" s="1463">
        <f>K355</f>
        <v>6.680000000000001</v>
      </c>
      <c r="O355" s="1440">
        <f t="shared" si="46"/>
        <v>12.7</v>
      </c>
      <c r="P355" s="23"/>
      <c r="Q355" s="53"/>
      <c r="R355" s="2516"/>
      <c r="S355" s="2516"/>
      <c r="T355" s="2516"/>
      <c r="U355" s="2516"/>
      <c r="V355" s="2516"/>
      <c r="W355" s="2523"/>
      <c r="X355" s="2538"/>
      <c r="Y355" s="2516"/>
      <c r="Z355" s="2516"/>
    </row>
    <row r="356" spans="1:26" s="9" customFormat="1" ht="18.75">
      <c r="A356" s="1107">
        <v>9</v>
      </c>
      <c r="B356" s="1076"/>
      <c r="C356" s="1570" t="s">
        <v>640</v>
      </c>
      <c r="D356" s="1077"/>
      <c r="E356" s="1077"/>
      <c r="F356" s="1077"/>
      <c r="G356" s="1574" t="s">
        <v>626</v>
      </c>
      <c r="H356" s="1077"/>
      <c r="I356" s="1575" t="s">
        <v>573</v>
      </c>
      <c r="J356" s="1400">
        <f>Лист1!J33</f>
        <v>30100</v>
      </c>
      <c r="K356" s="1573">
        <f>Лист1!K33</f>
        <v>46900</v>
      </c>
      <c r="L356" s="1324">
        <f t="shared" si="45"/>
        <v>77000</v>
      </c>
      <c r="M356" s="1462">
        <f t="shared" si="47"/>
        <v>3.01</v>
      </c>
      <c r="N356" s="1463">
        <f>K356/10000</f>
        <v>4.69</v>
      </c>
      <c r="O356" s="1440">
        <f t="shared" si="46"/>
        <v>7.7</v>
      </c>
      <c r="P356" s="23"/>
      <c r="Q356" s="53"/>
      <c r="R356" s="2516"/>
      <c r="S356" s="2516"/>
      <c r="T356" s="2516"/>
      <c r="U356" s="2516"/>
      <c r="V356" s="2516"/>
      <c r="W356" s="2523"/>
      <c r="X356" s="2538"/>
      <c r="Y356" s="2516"/>
      <c r="Z356" s="2516"/>
    </row>
    <row r="357" spans="1:26" s="9" customFormat="1" ht="18.75">
      <c r="A357" s="1107"/>
      <c r="B357" s="1076"/>
      <c r="C357" s="1570"/>
      <c r="D357" s="1077"/>
      <c r="E357" s="1077"/>
      <c r="F357" s="1077"/>
      <c r="G357" s="1574" t="s">
        <v>627</v>
      </c>
      <c r="H357" s="1077"/>
      <c r="I357" s="1575" t="s">
        <v>573</v>
      </c>
      <c r="J357" s="1400">
        <f>Лист1!J34</f>
        <v>45100</v>
      </c>
      <c r="K357" s="1573">
        <f>Лист1!K34</f>
        <v>4.69</v>
      </c>
      <c r="L357" s="1324">
        <f t="shared" si="45"/>
        <v>45104.69</v>
      </c>
      <c r="M357" s="1462">
        <f t="shared" si="47"/>
        <v>4.51</v>
      </c>
      <c r="N357" s="1463">
        <f aca="true" t="shared" si="48" ref="N357:N374">K357</f>
        <v>4.69</v>
      </c>
      <c r="O357" s="1440">
        <f t="shared" si="46"/>
        <v>9.2</v>
      </c>
      <c r="P357" s="23"/>
      <c r="Q357" s="53"/>
      <c r="R357" s="2516"/>
      <c r="S357" s="2516"/>
      <c r="T357" s="2516"/>
      <c r="U357" s="2516"/>
      <c r="V357" s="2516"/>
      <c r="W357" s="2523"/>
      <c r="X357" s="2538"/>
      <c r="Y357" s="2516"/>
      <c r="Z357" s="2516"/>
    </row>
    <row r="358" spans="1:26" s="9" customFormat="1" ht="18.75">
      <c r="A358" s="1107">
        <v>10</v>
      </c>
      <c r="B358" s="1076"/>
      <c r="C358" s="1570" t="s">
        <v>641</v>
      </c>
      <c r="D358" s="1077"/>
      <c r="E358" s="1077"/>
      <c r="F358" s="1077"/>
      <c r="G358" s="1574" t="s">
        <v>626</v>
      </c>
      <c r="H358" s="1077"/>
      <c r="I358" s="1575" t="s">
        <v>573</v>
      </c>
      <c r="J358" s="1400">
        <f>Лист1!J35</f>
        <v>30100</v>
      </c>
      <c r="K358" s="1573">
        <f>Лист1!K35</f>
        <v>4.69</v>
      </c>
      <c r="L358" s="1324">
        <f t="shared" si="45"/>
        <v>30104.69</v>
      </c>
      <c r="M358" s="1462">
        <f t="shared" si="47"/>
        <v>3.01</v>
      </c>
      <c r="N358" s="1463">
        <f t="shared" si="48"/>
        <v>4.69</v>
      </c>
      <c r="O358" s="1440">
        <f>SUM(M358:N358)</f>
        <v>7.7</v>
      </c>
      <c r="P358" s="23"/>
      <c r="Q358" s="53"/>
      <c r="R358" s="2516"/>
      <c r="S358" s="2516"/>
      <c r="T358" s="2516"/>
      <c r="U358" s="2516"/>
      <c r="V358" s="2516"/>
      <c r="W358" s="2523"/>
      <c r="X358" s="2538"/>
      <c r="Y358" s="2516"/>
      <c r="Z358" s="2516"/>
    </row>
    <row r="359" spans="1:26" s="9" customFormat="1" ht="18.75">
      <c r="A359" s="1107"/>
      <c r="B359" s="1076"/>
      <c r="C359" s="1570"/>
      <c r="D359" s="1077"/>
      <c r="E359" s="1077"/>
      <c r="F359" s="1077"/>
      <c r="G359" s="1574" t="s">
        <v>627</v>
      </c>
      <c r="H359" s="1077"/>
      <c r="I359" s="1575" t="s">
        <v>573</v>
      </c>
      <c r="J359" s="1400">
        <f>Лист1!J36</f>
        <v>45100</v>
      </c>
      <c r="K359" s="1573">
        <f>Лист1!K36</f>
        <v>4.69</v>
      </c>
      <c r="L359" s="1324">
        <f t="shared" si="45"/>
        <v>45104.69</v>
      </c>
      <c r="M359" s="1462">
        <f t="shared" si="47"/>
        <v>4.51</v>
      </c>
      <c r="N359" s="1463">
        <f t="shared" si="48"/>
        <v>4.69</v>
      </c>
      <c r="O359" s="1440">
        <f t="shared" si="46"/>
        <v>9.2</v>
      </c>
      <c r="P359" s="23"/>
      <c r="Q359" s="53"/>
      <c r="R359" s="2516"/>
      <c r="S359" s="2516"/>
      <c r="T359" s="2516"/>
      <c r="U359" s="2516"/>
      <c r="V359" s="2516"/>
      <c r="W359" s="2523"/>
      <c r="X359" s="2538"/>
      <c r="Y359" s="2516"/>
      <c r="Z359" s="2516"/>
    </row>
    <row r="360" spans="1:26" s="9" customFormat="1" ht="18.75">
      <c r="A360" s="1107">
        <v>11</v>
      </c>
      <c r="B360" s="1076"/>
      <c r="C360" s="1570" t="s">
        <v>642</v>
      </c>
      <c r="D360" s="1077"/>
      <c r="E360" s="1077"/>
      <c r="F360" s="1077"/>
      <c r="G360" s="1574" t="s">
        <v>626</v>
      </c>
      <c r="H360" s="1077"/>
      <c r="I360" s="1575" t="s">
        <v>573</v>
      </c>
      <c r="J360" s="1400">
        <f>Лист1!J37</f>
        <v>30100</v>
      </c>
      <c r="K360" s="1573">
        <f>Лист1!K37</f>
        <v>4.69</v>
      </c>
      <c r="L360" s="1324">
        <f t="shared" si="45"/>
        <v>30104.69</v>
      </c>
      <c r="M360" s="1462">
        <f t="shared" si="47"/>
        <v>3.01</v>
      </c>
      <c r="N360" s="1463">
        <f t="shared" si="48"/>
        <v>4.69</v>
      </c>
      <c r="O360" s="1440">
        <f t="shared" si="46"/>
        <v>7.7</v>
      </c>
      <c r="P360" s="23"/>
      <c r="Q360" s="53"/>
      <c r="R360" s="2516"/>
      <c r="S360" s="2516"/>
      <c r="T360" s="2516"/>
      <c r="U360" s="2516"/>
      <c r="V360" s="2516"/>
      <c r="W360" s="2523"/>
      <c r="X360" s="2538"/>
      <c r="Y360" s="2516"/>
      <c r="Z360" s="2516"/>
    </row>
    <row r="361" spans="1:26" s="9" customFormat="1" ht="18.75">
      <c r="A361" s="1107"/>
      <c r="B361" s="1076"/>
      <c r="C361" s="1570"/>
      <c r="D361" s="1077"/>
      <c r="E361" s="1077"/>
      <c r="F361" s="1077"/>
      <c r="G361" s="1574" t="s">
        <v>627</v>
      </c>
      <c r="H361" s="1077"/>
      <c r="I361" s="1575" t="s">
        <v>573</v>
      </c>
      <c r="J361" s="1400">
        <f>Лист1!J38</f>
        <v>45100</v>
      </c>
      <c r="K361" s="1573">
        <f>Лист1!K38</f>
        <v>4.69</v>
      </c>
      <c r="L361" s="1324">
        <f t="shared" si="45"/>
        <v>45104.69</v>
      </c>
      <c r="M361" s="1462">
        <f t="shared" si="47"/>
        <v>4.51</v>
      </c>
      <c r="N361" s="1463">
        <f t="shared" si="48"/>
        <v>4.69</v>
      </c>
      <c r="O361" s="1440">
        <f t="shared" si="46"/>
        <v>9.2</v>
      </c>
      <c r="P361" s="23"/>
      <c r="Q361" s="53"/>
      <c r="R361" s="2516"/>
      <c r="S361" s="2516"/>
      <c r="T361" s="2516"/>
      <c r="U361" s="2516"/>
      <c r="V361" s="2516"/>
      <c r="W361" s="2523"/>
      <c r="X361" s="2538"/>
      <c r="Y361" s="2516"/>
      <c r="Z361" s="2516"/>
    </row>
    <row r="362" spans="1:26" s="9" customFormat="1" ht="18.75">
      <c r="A362" s="1107">
        <v>12</v>
      </c>
      <c r="B362" s="1076"/>
      <c r="C362" s="1570" t="s">
        <v>643</v>
      </c>
      <c r="D362" s="1077"/>
      <c r="E362" s="1077"/>
      <c r="F362" s="1077"/>
      <c r="G362" s="1077"/>
      <c r="H362" s="1077"/>
      <c r="I362" s="1575" t="s">
        <v>573</v>
      </c>
      <c r="J362" s="1400">
        <f>Лист1!J39</f>
        <v>30100</v>
      </c>
      <c r="K362" s="1573">
        <f>Лист1!K39</f>
        <v>4.69</v>
      </c>
      <c r="L362" s="1324">
        <f t="shared" si="45"/>
        <v>30104.69</v>
      </c>
      <c r="M362" s="1462">
        <f t="shared" si="47"/>
        <v>3.01</v>
      </c>
      <c r="N362" s="1463">
        <f t="shared" si="48"/>
        <v>4.69</v>
      </c>
      <c r="O362" s="1440">
        <f t="shared" si="46"/>
        <v>7.7</v>
      </c>
      <c r="P362" s="23"/>
      <c r="Q362" s="53"/>
      <c r="R362" s="2516"/>
      <c r="S362" s="2516"/>
      <c r="T362" s="2516"/>
      <c r="U362" s="2516"/>
      <c r="V362" s="2516"/>
      <c r="W362" s="2523"/>
      <c r="X362" s="2538"/>
      <c r="Y362" s="2516"/>
      <c r="Z362" s="2516"/>
    </row>
    <row r="363" spans="1:26" s="9" customFormat="1" ht="18.75">
      <c r="A363" s="1107">
        <v>13</v>
      </c>
      <c r="B363" s="1076"/>
      <c r="C363" s="1570" t="s">
        <v>644</v>
      </c>
      <c r="D363" s="1077"/>
      <c r="E363" s="1077"/>
      <c r="F363" s="1077"/>
      <c r="G363" s="1077"/>
      <c r="H363" s="1077"/>
      <c r="I363" s="1575" t="s">
        <v>573</v>
      </c>
      <c r="J363" s="1400">
        <f>Лист1!J40</f>
        <v>45100</v>
      </c>
      <c r="K363" s="1573">
        <f>Лист1!K40</f>
        <v>4.69</v>
      </c>
      <c r="L363" s="1324">
        <f t="shared" si="45"/>
        <v>45104.69</v>
      </c>
      <c r="M363" s="1462">
        <f t="shared" si="47"/>
        <v>4.51</v>
      </c>
      <c r="N363" s="1463">
        <f t="shared" si="48"/>
        <v>4.69</v>
      </c>
      <c r="O363" s="1440">
        <f t="shared" si="46"/>
        <v>9.2</v>
      </c>
      <c r="P363" s="23"/>
      <c r="Q363" s="53"/>
      <c r="R363" s="2516"/>
      <c r="S363" s="2516"/>
      <c r="T363" s="2516"/>
      <c r="U363" s="2516"/>
      <c r="V363" s="2516"/>
      <c r="W363" s="2523"/>
      <c r="X363" s="2538"/>
      <c r="Y363" s="2516"/>
      <c r="Z363" s="2516"/>
    </row>
    <row r="364" spans="1:26" s="9" customFormat="1" ht="18.75">
      <c r="A364" s="1107">
        <v>14</v>
      </c>
      <c r="B364" s="1076"/>
      <c r="C364" s="1570" t="s">
        <v>645</v>
      </c>
      <c r="D364" s="1077"/>
      <c r="E364" s="1077"/>
      <c r="F364" s="1077"/>
      <c r="G364" s="1077"/>
      <c r="H364" s="1077"/>
      <c r="I364" s="1575" t="s">
        <v>573</v>
      </c>
      <c r="J364" s="1400">
        <f>Лист1!J41</f>
        <v>45100</v>
      </c>
      <c r="K364" s="1573">
        <f>Лист1!K41</f>
        <v>4.69</v>
      </c>
      <c r="L364" s="1324">
        <f t="shared" si="45"/>
        <v>45104.69</v>
      </c>
      <c r="M364" s="1462">
        <f t="shared" si="47"/>
        <v>4.51</v>
      </c>
      <c r="N364" s="1463">
        <f t="shared" si="48"/>
        <v>4.69</v>
      </c>
      <c r="O364" s="1440">
        <f t="shared" si="46"/>
        <v>9.2</v>
      </c>
      <c r="P364" s="23"/>
      <c r="Q364" s="53"/>
      <c r="R364" s="2516"/>
      <c r="S364" s="2516"/>
      <c r="T364" s="2516"/>
      <c r="U364" s="2516"/>
      <c r="V364" s="2516"/>
      <c r="W364" s="2523"/>
      <c r="X364" s="2538"/>
      <c r="Y364" s="2516"/>
      <c r="Z364" s="2516"/>
    </row>
    <row r="365" spans="1:26" s="9" customFormat="1" ht="18.75">
      <c r="A365" s="1107">
        <v>15</v>
      </c>
      <c r="B365" s="1076"/>
      <c r="C365" s="1570" t="s">
        <v>646</v>
      </c>
      <c r="D365" s="1077"/>
      <c r="E365" s="1077"/>
      <c r="F365" s="1077"/>
      <c r="G365" s="1077"/>
      <c r="H365" s="1077"/>
      <c r="I365" s="1575" t="s">
        <v>573</v>
      </c>
      <c r="J365" s="1400">
        <f>Лист1!J42</f>
        <v>30100</v>
      </c>
      <c r="K365" s="1573">
        <f>Лист1!K42</f>
        <v>4.69</v>
      </c>
      <c r="L365" s="1324">
        <f t="shared" si="45"/>
        <v>30104.69</v>
      </c>
      <c r="M365" s="1462">
        <f t="shared" si="47"/>
        <v>3.01</v>
      </c>
      <c r="N365" s="1463">
        <f t="shared" si="48"/>
        <v>4.69</v>
      </c>
      <c r="O365" s="1440">
        <f t="shared" si="46"/>
        <v>7.7</v>
      </c>
      <c r="P365" s="23"/>
      <c r="Q365" s="53"/>
      <c r="R365" s="2516"/>
      <c r="S365" s="2516"/>
      <c r="T365" s="2516"/>
      <c r="U365" s="2516"/>
      <c r="V365" s="2516"/>
      <c r="W365" s="2523"/>
      <c r="X365" s="2538"/>
      <c r="Y365" s="2516"/>
      <c r="Z365" s="2516"/>
    </row>
    <row r="366" spans="1:26" s="9" customFormat="1" ht="18.75">
      <c r="A366" s="1107">
        <v>16</v>
      </c>
      <c r="B366" s="1076"/>
      <c r="C366" s="1570" t="s">
        <v>647</v>
      </c>
      <c r="D366" s="1077"/>
      <c r="E366" s="1077"/>
      <c r="F366" s="1077"/>
      <c r="G366" s="1077"/>
      <c r="H366" s="1077"/>
      <c r="I366" s="1575" t="s">
        <v>573</v>
      </c>
      <c r="J366" s="1400">
        <f>Лист1!J43</f>
        <v>45100</v>
      </c>
      <c r="K366" s="1573">
        <f>Лист1!K43</f>
        <v>4.69</v>
      </c>
      <c r="L366" s="1324">
        <f t="shared" si="45"/>
        <v>45104.69</v>
      </c>
      <c r="M366" s="1462">
        <f t="shared" si="47"/>
        <v>4.51</v>
      </c>
      <c r="N366" s="1463">
        <f t="shared" si="48"/>
        <v>4.69</v>
      </c>
      <c r="O366" s="1440">
        <f t="shared" si="46"/>
        <v>9.2</v>
      </c>
      <c r="P366" s="23"/>
      <c r="Q366" s="53"/>
      <c r="R366" s="2516"/>
      <c r="S366" s="2516"/>
      <c r="T366" s="2516"/>
      <c r="U366" s="2516"/>
      <c r="V366" s="2516"/>
      <c r="W366" s="2523"/>
      <c r="X366" s="2538"/>
      <c r="Y366" s="2516"/>
      <c r="Z366" s="2516"/>
    </row>
    <row r="367" spans="1:26" s="9" customFormat="1" ht="18.75">
      <c r="A367" s="1107">
        <v>17</v>
      </c>
      <c r="B367" s="1076"/>
      <c r="C367" s="1570" t="s">
        <v>648</v>
      </c>
      <c r="D367" s="1077"/>
      <c r="E367" s="1077"/>
      <c r="F367" s="1077"/>
      <c r="G367" s="1077"/>
      <c r="H367" s="1077"/>
      <c r="I367" s="1575" t="s">
        <v>573</v>
      </c>
      <c r="J367" s="1400">
        <f>Лист1!J44</f>
        <v>30100</v>
      </c>
      <c r="K367" s="1573">
        <f>Лист1!K44</f>
        <v>4.69</v>
      </c>
      <c r="L367" s="1324">
        <f t="shared" si="45"/>
        <v>30104.69</v>
      </c>
      <c r="M367" s="1462">
        <f t="shared" si="47"/>
        <v>3.01</v>
      </c>
      <c r="N367" s="1463">
        <f t="shared" si="48"/>
        <v>4.69</v>
      </c>
      <c r="O367" s="1440">
        <f t="shared" si="46"/>
        <v>7.7</v>
      </c>
      <c r="P367" s="23"/>
      <c r="Q367" s="53"/>
      <c r="R367" s="2516"/>
      <c r="S367" s="2516"/>
      <c r="T367" s="2516"/>
      <c r="U367" s="2516"/>
      <c r="V367" s="2516"/>
      <c r="W367" s="2523"/>
      <c r="X367" s="2538"/>
      <c r="Y367" s="2516"/>
      <c r="Z367" s="2516"/>
    </row>
    <row r="368" spans="1:26" s="9" customFormat="1" ht="18.75">
      <c r="A368" s="1107">
        <v>18</v>
      </c>
      <c r="B368" s="1076"/>
      <c r="C368" s="1570" t="s">
        <v>649</v>
      </c>
      <c r="D368" s="1077"/>
      <c r="E368" s="1077"/>
      <c r="F368" s="1077"/>
      <c r="G368" s="1077"/>
      <c r="H368" s="1077"/>
      <c r="I368" s="1575" t="s">
        <v>573</v>
      </c>
      <c r="J368" s="1400">
        <f>Лист1!J45</f>
        <v>45100</v>
      </c>
      <c r="K368" s="1573">
        <f>Лист1!K45</f>
        <v>4.69</v>
      </c>
      <c r="L368" s="1324">
        <f t="shared" si="45"/>
        <v>45104.69</v>
      </c>
      <c r="M368" s="1462">
        <f t="shared" si="47"/>
        <v>4.51</v>
      </c>
      <c r="N368" s="1463">
        <f t="shared" si="48"/>
        <v>4.69</v>
      </c>
      <c r="O368" s="1440">
        <f t="shared" si="46"/>
        <v>9.2</v>
      </c>
      <c r="P368" s="23"/>
      <c r="Q368" s="53"/>
      <c r="R368" s="2516"/>
      <c r="S368" s="2516"/>
      <c r="T368" s="2516"/>
      <c r="U368" s="2516"/>
      <c r="V368" s="2516"/>
      <c r="W368" s="2523"/>
      <c r="X368" s="2538"/>
      <c r="Y368" s="2516"/>
      <c r="Z368" s="2516"/>
    </row>
    <row r="369" spans="1:26" s="9" customFormat="1" ht="18.75">
      <c r="A369" s="1107">
        <v>19</v>
      </c>
      <c r="B369" s="1076"/>
      <c r="C369" s="1570" t="s">
        <v>650</v>
      </c>
      <c r="D369" s="1077"/>
      <c r="E369" s="1077"/>
      <c r="F369" s="1077"/>
      <c r="G369" s="1077"/>
      <c r="H369" s="1077"/>
      <c r="I369" s="1575" t="s">
        <v>573</v>
      </c>
      <c r="J369" s="1400">
        <f>Лист1!J46</f>
        <v>45100</v>
      </c>
      <c r="K369" s="1573">
        <f>Лист1!K46</f>
        <v>4.69</v>
      </c>
      <c r="L369" s="1324">
        <f t="shared" si="45"/>
        <v>45104.69</v>
      </c>
      <c r="M369" s="1462">
        <f t="shared" si="47"/>
        <v>4.51</v>
      </c>
      <c r="N369" s="1463">
        <f t="shared" si="48"/>
        <v>4.69</v>
      </c>
      <c r="O369" s="1440">
        <f t="shared" si="46"/>
        <v>9.2</v>
      </c>
      <c r="P369" s="23"/>
      <c r="Q369" s="53"/>
      <c r="R369" s="2516"/>
      <c r="S369" s="2516"/>
      <c r="T369" s="2516"/>
      <c r="U369" s="2516"/>
      <c r="V369" s="2516"/>
      <c r="W369" s="2523"/>
      <c r="X369" s="2538"/>
      <c r="Y369" s="2516"/>
      <c r="Z369" s="2516"/>
    </row>
    <row r="370" spans="1:26" s="9" customFormat="1" ht="18.75">
      <c r="A370" s="1107">
        <v>20</v>
      </c>
      <c r="B370" s="1076"/>
      <c r="C370" s="1570" t="s">
        <v>651</v>
      </c>
      <c r="D370" s="1077"/>
      <c r="E370" s="1077"/>
      <c r="F370" s="1077"/>
      <c r="G370" s="1077"/>
      <c r="H370" s="1077"/>
      <c r="I370" s="1575" t="s">
        <v>573</v>
      </c>
      <c r="J370" s="1400">
        <f>Лист1!J47</f>
        <v>75200</v>
      </c>
      <c r="K370" s="1573">
        <f>Лист1!K47</f>
        <v>4.69</v>
      </c>
      <c r="L370" s="1324">
        <f t="shared" si="45"/>
        <v>75204.69</v>
      </c>
      <c r="M370" s="1462">
        <f t="shared" si="47"/>
        <v>7.52</v>
      </c>
      <c r="N370" s="1463">
        <f t="shared" si="48"/>
        <v>4.69</v>
      </c>
      <c r="O370" s="1440">
        <f t="shared" si="46"/>
        <v>12.21</v>
      </c>
      <c r="P370" s="23"/>
      <c r="Q370" s="53"/>
      <c r="R370" s="2516"/>
      <c r="S370" s="2516"/>
      <c r="T370" s="2516"/>
      <c r="U370" s="2516"/>
      <c r="V370" s="2516"/>
      <c r="W370" s="2523"/>
      <c r="X370" s="2538"/>
      <c r="Y370" s="2516"/>
      <c r="Z370" s="2516"/>
    </row>
    <row r="371" spans="1:26" s="9" customFormat="1" ht="18.75">
      <c r="A371" s="1107">
        <v>21</v>
      </c>
      <c r="B371" s="1076"/>
      <c r="C371" s="1570" t="s">
        <v>652</v>
      </c>
      <c r="D371" s="1077"/>
      <c r="E371" s="1077"/>
      <c r="F371" s="1077"/>
      <c r="G371" s="1077"/>
      <c r="H371" s="1077"/>
      <c r="I371" s="1575" t="s">
        <v>573</v>
      </c>
      <c r="J371" s="1400">
        <f>Лист1!J48</f>
        <v>60200</v>
      </c>
      <c r="K371" s="1573">
        <f>Лист1!K48</f>
        <v>4.69</v>
      </c>
      <c r="L371" s="1324">
        <f t="shared" si="45"/>
        <v>60204.69</v>
      </c>
      <c r="M371" s="1462">
        <f t="shared" si="47"/>
        <v>6.02</v>
      </c>
      <c r="N371" s="1463">
        <f t="shared" si="48"/>
        <v>4.69</v>
      </c>
      <c r="O371" s="1440">
        <f t="shared" si="46"/>
        <v>10.71</v>
      </c>
      <c r="P371" s="23"/>
      <c r="Q371" s="53"/>
      <c r="R371" s="2516"/>
      <c r="S371" s="2516"/>
      <c r="T371" s="2516"/>
      <c r="U371" s="2516"/>
      <c r="V371" s="2516"/>
      <c r="W371" s="2523"/>
      <c r="X371" s="2538"/>
      <c r="Y371" s="2516"/>
      <c r="Z371" s="2516"/>
    </row>
    <row r="372" spans="1:26" s="9" customFormat="1" ht="18.75">
      <c r="A372" s="1107">
        <v>22</v>
      </c>
      <c r="B372" s="1076"/>
      <c r="C372" s="1570" t="s">
        <v>653</v>
      </c>
      <c r="D372" s="1077"/>
      <c r="E372" s="1077"/>
      <c r="F372" s="1077"/>
      <c r="G372" s="1077"/>
      <c r="H372" s="1077"/>
      <c r="I372" s="1575" t="s">
        <v>573</v>
      </c>
      <c r="J372" s="1400">
        <f>Лист1!J49</f>
        <v>30100</v>
      </c>
      <c r="K372" s="1573">
        <f>Лист1!K49</f>
        <v>4.69</v>
      </c>
      <c r="L372" s="1324">
        <f t="shared" si="45"/>
        <v>30104.69</v>
      </c>
      <c r="M372" s="1462">
        <f t="shared" si="47"/>
        <v>3.01</v>
      </c>
      <c r="N372" s="1463">
        <f t="shared" si="48"/>
        <v>4.69</v>
      </c>
      <c r="O372" s="1440">
        <f t="shared" si="46"/>
        <v>7.7</v>
      </c>
      <c r="P372" s="23"/>
      <c r="Q372" s="53"/>
      <c r="R372" s="2516"/>
      <c r="S372" s="2516"/>
      <c r="T372" s="2516"/>
      <c r="U372" s="2516"/>
      <c r="V372" s="2516"/>
      <c r="W372" s="2523"/>
      <c r="X372" s="2538"/>
      <c r="Y372" s="2516"/>
      <c r="Z372" s="2516"/>
    </row>
    <row r="373" spans="1:26" s="9" customFormat="1" ht="18.75">
      <c r="A373" s="1110">
        <v>23</v>
      </c>
      <c r="B373" s="1111"/>
      <c r="C373" s="1571" t="s">
        <v>655</v>
      </c>
      <c r="D373" s="1113"/>
      <c r="E373" s="1113"/>
      <c r="F373" s="1113"/>
      <c r="G373" s="1113"/>
      <c r="H373" s="1113"/>
      <c r="I373" s="1576" t="s">
        <v>573</v>
      </c>
      <c r="J373" s="1400">
        <f>Лист1!J50</f>
        <v>15100</v>
      </c>
      <c r="K373" s="1573">
        <f>Лист1!K50</f>
        <v>4.53</v>
      </c>
      <c r="L373" s="1324">
        <f t="shared" si="45"/>
        <v>15104.53</v>
      </c>
      <c r="M373" s="1462">
        <f t="shared" si="47"/>
        <v>1.51</v>
      </c>
      <c r="N373" s="1463">
        <f t="shared" si="48"/>
        <v>4.53</v>
      </c>
      <c r="O373" s="1440">
        <f t="shared" si="46"/>
        <v>6.04</v>
      </c>
      <c r="P373" s="23"/>
      <c r="Q373" s="53"/>
      <c r="R373" s="2516"/>
      <c r="S373" s="2516"/>
      <c r="T373" s="2516"/>
      <c r="U373" s="2516"/>
      <c r="V373" s="2516"/>
      <c r="W373" s="2523"/>
      <c r="X373" s="2538"/>
      <c r="Y373" s="2516"/>
      <c r="Z373" s="2516"/>
    </row>
    <row r="374" spans="1:26" s="9" customFormat="1" ht="18.75">
      <c r="A374" s="1107">
        <v>24</v>
      </c>
      <c r="B374" s="1076"/>
      <c r="C374" s="1570" t="s">
        <v>656</v>
      </c>
      <c r="D374" s="1077"/>
      <c r="E374" s="1077"/>
      <c r="F374" s="1077"/>
      <c r="G374" s="1077"/>
      <c r="H374" s="1077"/>
      <c r="I374" s="1575" t="s">
        <v>573</v>
      </c>
      <c r="J374" s="1400">
        <f>Лист1!J51</f>
        <v>34800</v>
      </c>
      <c r="K374" s="1573">
        <f>Лист1!K51</f>
        <v>0</v>
      </c>
      <c r="L374" s="1324">
        <f t="shared" si="45"/>
        <v>34800</v>
      </c>
      <c r="M374" s="1462">
        <f t="shared" si="47"/>
        <v>3.48</v>
      </c>
      <c r="N374" s="1463">
        <f t="shared" si="48"/>
        <v>0</v>
      </c>
      <c r="O374" s="1440">
        <f t="shared" si="46"/>
        <v>3.48</v>
      </c>
      <c r="P374" s="23"/>
      <c r="Q374" s="53"/>
      <c r="R374" s="2516"/>
      <c r="S374" s="2516"/>
      <c r="T374" s="2516"/>
      <c r="U374" s="2516"/>
      <c r="V374" s="2516"/>
      <c r="W374" s="2523"/>
      <c r="X374" s="2538"/>
      <c r="Y374" s="2516"/>
      <c r="Z374" s="2516"/>
    </row>
    <row r="375" spans="1:26" s="9" customFormat="1" ht="18">
      <c r="A375" s="1116"/>
      <c r="B375" s="1117"/>
      <c r="C375" s="1572" t="s">
        <v>657</v>
      </c>
      <c r="D375" s="1119"/>
      <c r="E375" s="1119"/>
      <c r="F375" s="1119"/>
      <c r="G375" s="1119"/>
      <c r="H375" s="1119"/>
      <c r="I375" s="1120"/>
      <c r="J375" s="1084"/>
      <c r="K375" s="1323"/>
      <c r="L375" s="1121"/>
      <c r="M375" s="1462"/>
      <c r="N375" s="1465"/>
      <c r="O375" s="1442"/>
      <c r="P375" s="23"/>
      <c r="Q375" s="53"/>
      <c r="R375" s="2516"/>
      <c r="S375" s="2516"/>
      <c r="T375" s="2516"/>
      <c r="U375" s="2516"/>
      <c r="V375" s="2516"/>
      <c r="W375" s="2523"/>
      <c r="X375" s="2538"/>
      <c r="Y375" s="2516"/>
      <c r="Z375" s="2516"/>
    </row>
    <row r="376" spans="1:26" s="9" customFormat="1" ht="18">
      <c r="A376" s="68"/>
      <c r="B376" s="67"/>
      <c r="C376" s="26"/>
      <c r="D376" s="3"/>
      <c r="E376" s="3"/>
      <c r="F376" s="48"/>
      <c r="G376" s="48"/>
      <c r="H376" s="10"/>
      <c r="I376" s="41"/>
      <c r="J376" s="1141"/>
      <c r="K376" s="1347"/>
      <c r="L376" s="1326"/>
      <c r="M376" s="1462"/>
      <c r="N376" s="1465"/>
      <c r="O376" s="1442"/>
      <c r="P376" s="23"/>
      <c r="Q376" s="53"/>
      <c r="R376" s="2516"/>
      <c r="S376" s="2516"/>
      <c r="T376" s="2516"/>
      <c r="U376" s="2516"/>
      <c r="V376" s="2516"/>
      <c r="W376" s="2523"/>
      <c r="X376" s="2538"/>
      <c r="Y376" s="2516"/>
      <c r="Z376" s="2516"/>
    </row>
    <row r="377" spans="1:26" s="9" customFormat="1" ht="18.75">
      <c r="A377" s="1019">
        <v>11</v>
      </c>
      <c r="B377" s="93" t="s">
        <v>236</v>
      </c>
      <c r="C377" s="1020"/>
      <c r="D377" s="71"/>
      <c r="E377" s="72"/>
      <c r="F377" s="73"/>
      <c r="G377" s="73"/>
      <c r="H377" s="17"/>
      <c r="I377" s="41"/>
      <c r="J377" s="1141"/>
      <c r="K377" s="1347"/>
      <c r="L377" s="1326"/>
      <c r="M377" s="1462"/>
      <c r="N377" s="1465"/>
      <c r="O377" s="1442"/>
      <c r="P377" s="23"/>
      <c r="Q377" s="53"/>
      <c r="R377" s="2516"/>
      <c r="S377" s="2516"/>
      <c r="T377" s="2516"/>
      <c r="U377" s="2516"/>
      <c r="V377" s="2516"/>
      <c r="W377" s="2523">
        <f t="shared" si="44"/>
        <v>0</v>
      </c>
      <c r="X377" s="2538"/>
      <c r="Y377" s="2516"/>
      <c r="Z377" s="2516"/>
    </row>
    <row r="378" spans="1:26" s="9" customFormat="1" ht="18.75">
      <c r="A378" s="1019"/>
      <c r="B378" s="93" t="s">
        <v>666</v>
      </c>
      <c r="C378" s="1020"/>
      <c r="D378" s="71"/>
      <c r="E378" s="72"/>
      <c r="F378" s="73"/>
      <c r="G378" s="73"/>
      <c r="H378" s="17"/>
      <c r="I378" s="41"/>
      <c r="J378" s="1141"/>
      <c r="K378" s="1347"/>
      <c r="L378" s="1326"/>
      <c r="M378" s="1462"/>
      <c r="N378" s="1465"/>
      <c r="O378" s="1442"/>
      <c r="P378" s="23"/>
      <c r="Q378" s="53"/>
      <c r="R378" s="2516"/>
      <c r="S378" s="2516"/>
      <c r="T378" s="2516"/>
      <c r="U378" s="2516"/>
      <c r="V378" s="2516"/>
      <c r="W378" s="2523">
        <f t="shared" si="44"/>
        <v>0</v>
      </c>
      <c r="X378" s="2538"/>
      <c r="Y378" s="2516"/>
      <c r="Z378" s="2516"/>
    </row>
    <row r="379" spans="1:26" s="9" customFormat="1" ht="18.75">
      <c r="A379" s="1019"/>
      <c r="B379" s="93" t="s">
        <v>667</v>
      </c>
      <c r="C379" s="1020"/>
      <c r="D379" s="71"/>
      <c r="E379" s="72"/>
      <c r="F379" s="73"/>
      <c r="G379" s="73"/>
      <c r="H379" s="17"/>
      <c r="I379" s="41"/>
      <c r="J379" s="1141"/>
      <c r="K379" s="1347"/>
      <c r="L379" s="1326"/>
      <c r="M379" s="1462"/>
      <c r="N379" s="1465"/>
      <c r="O379" s="1442"/>
      <c r="P379" s="23"/>
      <c r="Q379" s="53"/>
      <c r="R379" s="2516"/>
      <c r="S379" s="2516"/>
      <c r="T379" s="2516"/>
      <c r="U379" s="2516"/>
      <c r="V379" s="2516"/>
      <c r="W379" s="2523">
        <f t="shared" si="44"/>
        <v>0</v>
      </c>
      <c r="X379" s="2538"/>
      <c r="Y379" s="2516"/>
      <c r="Z379" s="2516"/>
    </row>
    <row r="380" spans="1:26" s="9" customFormat="1" ht="18">
      <c r="A380" s="74">
        <v>1</v>
      </c>
      <c r="B380" s="75"/>
      <c r="C380" s="126" t="s">
        <v>668</v>
      </c>
      <c r="D380" s="17"/>
      <c r="E380" s="72"/>
      <c r="F380" s="73"/>
      <c r="G380" s="73"/>
      <c r="H380" s="17"/>
      <c r="I380" s="41"/>
      <c r="J380" s="1141"/>
      <c r="K380" s="1347"/>
      <c r="L380" s="1326"/>
      <c r="M380" s="1462"/>
      <c r="N380" s="1465"/>
      <c r="O380" s="1442"/>
      <c r="P380" s="23"/>
      <c r="Q380" s="53"/>
      <c r="R380" s="2516"/>
      <c r="S380" s="2516"/>
      <c r="T380" s="2516"/>
      <c r="U380" s="2516"/>
      <c r="V380" s="2516"/>
      <c r="W380" s="2523">
        <f t="shared" si="44"/>
        <v>0</v>
      </c>
      <c r="X380" s="2538"/>
      <c r="Y380" s="2516"/>
      <c r="Z380" s="2516"/>
    </row>
    <row r="381" spans="1:26" s="9" customFormat="1" ht="18.75">
      <c r="A381" s="74"/>
      <c r="B381" s="75"/>
      <c r="C381" s="126" t="s">
        <v>669</v>
      </c>
      <c r="D381" s="17"/>
      <c r="E381" s="72"/>
      <c r="F381" s="73"/>
      <c r="G381" s="73"/>
      <c r="H381" s="17"/>
      <c r="I381" s="41" t="s">
        <v>573</v>
      </c>
      <c r="J381" s="1141">
        <v>108400</v>
      </c>
      <c r="K381" s="1347">
        <f>'[1]диагн.'!$G$446</f>
        <v>5.17</v>
      </c>
      <c r="L381" s="1324">
        <f>SUM(J381:K381)</f>
        <v>108405.17</v>
      </c>
      <c r="M381" s="1462">
        <f>J381/10000</f>
        <v>10.84</v>
      </c>
      <c r="N381" s="1463">
        <f>K381</f>
        <v>5.17</v>
      </c>
      <c r="O381" s="1440">
        <f>SUM(M381:N381)</f>
        <v>16.009999999999998</v>
      </c>
      <c r="P381" s="23"/>
      <c r="Q381" s="817">
        <f>L381-103300</f>
        <v>5105.169999999998</v>
      </c>
      <c r="R381" s="2514">
        <f>T381*1.15</f>
        <v>85962.5</v>
      </c>
      <c r="S381" s="2516"/>
      <c r="T381" s="2517">
        <v>74750</v>
      </c>
      <c r="U381" s="2516"/>
      <c r="V381" s="2516"/>
      <c r="W381" s="2523">
        <f t="shared" si="44"/>
        <v>108360</v>
      </c>
      <c r="X381" s="2538">
        <v>90300</v>
      </c>
      <c r="Y381" s="2516"/>
      <c r="Z381" s="2516"/>
    </row>
    <row r="382" spans="1:26" s="9" customFormat="1" ht="18">
      <c r="A382" s="74">
        <v>2</v>
      </c>
      <c r="B382" s="75"/>
      <c r="C382" s="126" t="s">
        <v>668</v>
      </c>
      <c r="D382" s="17"/>
      <c r="E382" s="76"/>
      <c r="F382" s="77"/>
      <c r="G382" s="77"/>
      <c r="H382" s="17"/>
      <c r="I382" s="41"/>
      <c r="J382" s="1141"/>
      <c r="K382" s="1347"/>
      <c r="L382" s="1326"/>
      <c r="M382" s="1462"/>
      <c r="N382" s="1465"/>
      <c r="O382" s="1442"/>
      <c r="P382" s="23"/>
      <c r="Q382" s="53"/>
      <c r="R382" s="2514"/>
      <c r="S382" s="2516"/>
      <c r="T382" s="2517"/>
      <c r="U382" s="2516"/>
      <c r="V382" s="2516"/>
      <c r="W382" s="2523">
        <f t="shared" si="44"/>
        <v>0</v>
      </c>
      <c r="X382" s="2538"/>
      <c r="Y382" s="2516"/>
      <c r="Z382" s="2516"/>
    </row>
    <row r="383" spans="1:26" s="9" customFormat="1" ht="18.75">
      <c r="A383" s="74"/>
      <c r="B383" s="75"/>
      <c r="C383" s="126" t="s">
        <v>670</v>
      </c>
      <c r="D383" s="17"/>
      <c r="E383" s="76"/>
      <c r="F383" s="77"/>
      <c r="G383" s="77"/>
      <c r="H383" s="17"/>
      <c r="I383" s="41" t="s">
        <v>573</v>
      </c>
      <c r="J383" s="1141">
        <v>164000</v>
      </c>
      <c r="K383" s="1347">
        <f>'[1]диагн.'!$G$458</f>
        <v>76.967</v>
      </c>
      <c r="L383" s="1324">
        <f>SUM(J383:K383)</f>
        <v>164076.967</v>
      </c>
      <c r="M383" s="1462">
        <f>J383/10000</f>
        <v>16.4</v>
      </c>
      <c r="N383" s="1463">
        <f>K383</f>
        <v>76.967</v>
      </c>
      <c r="O383" s="1440">
        <f>SUM(M383:N383)</f>
        <v>93.36699999999999</v>
      </c>
      <c r="P383" s="23"/>
      <c r="Q383" s="817">
        <f>L383-672000</f>
        <v>-507923.033</v>
      </c>
      <c r="R383" s="2514">
        <f>T383*1.15</f>
        <v>131905</v>
      </c>
      <c r="S383" s="2516"/>
      <c r="T383" s="2517">
        <v>114700</v>
      </c>
      <c r="U383" s="2516"/>
      <c r="V383" s="2516"/>
      <c r="W383" s="2523">
        <f t="shared" si="44"/>
        <v>164040</v>
      </c>
      <c r="X383" s="2538">
        <v>136700</v>
      </c>
      <c r="Y383" s="2516"/>
      <c r="Z383" s="2516"/>
    </row>
    <row r="384" spans="1:26" s="9" customFormat="1" ht="18">
      <c r="A384" s="74">
        <v>3</v>
      </c>
      <c r="B384" s="75"/>
      <c r="C384" s="126" t="s">
        <v>671</v>
      </c>
      <c r="D384" s="17"/>
      <c r="E384" s="76"/>
      <c r="F384" s="77"/>
      <c r="G384" s="77"/>
      <c r="H384" s="17"/>
      <c r="I384" s="41"/>
      <c r="J384" s="1141"/>
      <c r="K384" s="1347"/>
      <c r="L384" s="1326"/>
      <c r="M384" s="1462"/>
      <c r="N384" s="1465"/>
      <c r="O384" s="1442"/>
      <c r="P384" s="23"/>
      <c r="Q384" s="53"/>
      <c r="R384" s="2514"/>
      <c r="S384" s="2516"/>
      <c r="T384" s="2517"/>
      <c r="U384" s="2516"/>
      <c r="V384" s="2516"/>
      <c r="W384" s="2523">
        <f t="shared" si="44"/>
        <v>0</v>
      </c>
      <c r="X384" s="2538"/>
      <c r="Y384" s="2516"/>
      <c r="Z384" s="2516"/>
    </row>
    <row r="385" spans="1:26" s="9" customFormat="1" ht="18.75">
      <c r="A385" s="74"/>
      <c r="B385" s="75"/>
      <c r="C385" s="126" t="s">
        <v>669</v>
      </c>
      <c r="D385" s="17"/>
      <c r="E385" s="76"/>
      <c r="F385" s="77"/>
      <c r="G385" s="77"/>
      <c r="H385" s="17"/>
      <c r="I385" s="41" t="s">
        <v>573</v>
      </c>
      <c r="J385" s="1141">
        <v>86800</v>
      </c>
      <c r="K385" s="1347">
        <f>'[1]диагн.'!$G$465</f>
        <v>5.17</v>
      </c>
      <c r="L385" s="1324">
        <f>SUM(J385:K385)</f>
        <v>86805.17</v>
      </c>
      <c r="M385" s="1462">
        <f>J385/10000</f>
        <v>8.68</v>
      </c>
      <c r="N385" s="1463">
        <f>K385</f>
        <v>5.17</v>
      </c>
      <c r="O385" s="1440">
        <f>SUM(M385:N385)</f>
        <v>13.85</v>
      </c>
      <c r="P385" s="23"/>
      <c r="Q385" s="53"/>
      <c r="R385" s="2514">
        <f>T385*1.15</f>
        <v>68770</v>
      </c>
      <c r="S385" s="2516"/>
      <c r="T385" s="2517">
        <v>59800</v>
      </c>
      <c r="U385" s="2516"/>
      <c r="V385" s="2516"/>
      <c r="W385" s="2523">
        <f t="shared" si="44"/>
        <v>86760</v>
      </c>
      <c r="X385" s="2538">
        <v>72300</v>
      </c>
      <c r="Y385" s="2516"/>
      <c r="Z385" s="2516"/>
    </row>
    <row r="386" spans="1:26" s="9" customFormat="1" ht="18">
      <c r="A386" s="74">
        <v>4</v>
      </c>
      <c r="B386" s="75"/>
      <c r="C386" s="126" t="s">
        <v>671</v>
      </c>
      <c r="D386" s="17"/>
      <c r="E386" s="76"/>
      <c r="F386" s="77"/>
      <c r="G386" s="77"/>
      <c r="H386" s="17"/>
      <c r="I386" s="41"/>
      <c r="J386" s="1141"/>
      <c r="K386" s="1347"/>
      <c r="L386" s="1326"/>
      <c r="M386" s="1462"/>
      <c r="N386" s="1465"/>
      <c r="O386" s="1442"/>
      <c r="P386" s="23"/>
      <c r="Q386" s="53"/>
      <c r="R386" s="2514"/>
      <c r="S386" s="2516"/>
      <c r="T386" s="2517"/>
      <c r="U386" s="2516"/>
      <c r="V386" s="2516"/>
      <c r="W386" s="2523">
        <f t="shared" si="44"/>
        <v>0</v>
      </c>
      <c r="X386" s="2538"/>
      <c r="Y386" s="2516"/>
      <c r="Z386" s="2516"/>
    </row>
    <row r="387" spans="1:26" s="9" customFormat="1" ht="18.75">
      <c r="A387" s="74"/>
      <c r="B387" s="75"/>
      <c r="C387" s="126" t="s">
        <v>670</v>
      </c>
      <c r="D387" s="17"/>
      <c r="E387" s="76"/>
      <c r="F387" s="77"/>
      <c r="G387" s="77"/>
      <c r="H387" s="17"/>
      <c r="I387" s="41" t="s">
        <v>573</v>
      </c>
      <c r="J387" s="1141">
        <v>130900</v>
      </c>
      <c r="K387" s="1347">
        <f>'[1]диагн.'!$G$477</f>
        <v>76.967</v>
      </c>
      <c r="L387" s="1324">
        <f>SUM(J387:K387)</f>
        <v>130976.967</v>
      </c>
      <c r="M387" s="1462">
        <f>J387/10000</f>
        <v>13.09</v>
      </c>
      <c r="N387" s="1463">
        <f>K387</f>
        <v>76.967</v>
      </c>
      <c r="O387" s="1440">
        <f>SUM(M387:N387)</f>
        <v>90.057</v>
      </c>
      <c r="P387" s="23"/>
      <c r="Q387" s="53"/>
      <c r="R387" s="2514">
        <f>T387*1.15</f>
        <v>105454.99999999999</v>
      </c>
      <c r="S387" s="2516"/>
      <c r="T387" s="2517">
        <v>91700</v>
      </c>
      <c r="U387" s="2516"/>
      <c r="V387" s="2516"/>
      <c r="W387" s="2523">
        <f t="shared" si="44"/>
        <v>130920</v>
      </c>
      <c r="X387" s="2538">
        <v>109100</v>
      </c>
      <c r="Y387" s="2516"/>
      <c r="Z387" s="2516"/>
    </row>
    <row r="388" spans="1:26" s="9" customFormat="1" ht="18">
      <c r="A388" s="74">
        <v>5</v>
      </c>
      <c r="B388" s="75"/>
      <c r="C388" s="126" t="s">
        <v>672</v>
      </c>
      <c r="D388" s="17"/>
      <c r="E388" s="76"/>
      <c r="F388" s="77"/>
      <c r="G388" s="77"/>
      <c r="H388" s="17"/>
      <c r="I388" s="41"/>
      <c r="J388" s="1141"/>
      <c r="K388" s="1347"/>
      <c r="L388" s="1326"/>
      <c r="M388" s="1462"/>
      <c r="N388" s="1465"/>
      <c r="O388" s="1442"/>
      <c r="P388" s="23"/>
      <c r="Q388" s="53"/>
      <c r="R388" s="2514"/>
      <c r="S388" s="2516"/>
      <c r="T388" s="2517"/>
      <c r="U388" s="2516"/>
      <c r="V388" s="2516"/>
      <c r="W388" s="2523">
        <f t="shared" si="44"/>
        <v>0</v>
      </c>
      <c r="X388" s="2538"/>
      <c r="Y388" s="2516"/>
      <c r="Z388" s="2516"/>
    </row>
    <row r="389" spans="1:26" s="9" customFormat="1" ht="18.75">
      <c r="A389" s="74"/>
      <c r="B389" s="75"/>
      <c r="C389" s="126" t="s">
        <v>669</v>
      </c>
      <c r="D389" s="17"/>
      <c r="E389" s="76"/>
      <c r="F389" s="77"/>
      <c r="G389" s="77"/>
      <c r="H389" s="17"/>
      <c r="I389" s="41" t="s">
        <v>573</v>
      </c>
      <c r="J389" s="1141">
        <v>108400</v>
      </c>
      <c r="K389" s="1347">
        <f>'[1]диагн.'!$G$503</f>
        <v>5.17</v>
      </c>
      <c r="L389" s="1324">
        <f>SUM(J389:K389)</f>
        <v>108405.17</v>
      </c>
      <c r="M389" s="1462">
        <f>J389/10000</f>
        <v>10.84</v>
      </c>
      <c r="N389" s="1463">
        <f>K389</f>
        <v>5.17</v>
      </c>
      <c r="O389" s="1440">
        <f>SUM(M389:N389)</f>
        <v>16.009999999999998</v>
      </c>
      <c r="P389" s="23"/>
      <c r="Q389" s="53"/>
      <c r="R389" s="2514">
        <f>T389*1.15</f>
        <v>85962.5</v>
      </c>
      <c r="S389" s="2516"/>
      <c r="T389" s="2517">
        <v>74750</v>
      </c>
      <c r="U389" s="2516"/>
      <c r="V389" s="2516"/>
      <c r="W389" s="2523">
        <f t="shared" si="44"/>
        <v>108360</v>
      </c>
      <c r="X389" s="2538">
        <v>90300</v>
      </c>
      <c r="Y389" s="2516"/>
      <c r="Z389" s="2516"/>
    </row>
    <row r="390" spans="1:26" s="9" customFormat="1" ht="18">
      <c r="A390" s="74">
        <v>6</v>
      </c>
      <c r="B390" s="75"/>
      <c r="C390" s="126" t="s">
        <v>672</v>
      </c>
      <c r="D390" s="17"/>
      <c r="E390" s="76"/>
      <c r="F390" s="77"/>
      <c r="G390" s="77"/>
      <c r="H390" s="17"/>
      <c r="I390" s="41"/>
      <c r="J390" s="1141"/>
      <c r="K390" s="1347"/>
      <c r="L390" s="1326"/>
      <c r="M390" s="1462"/>
      <c r="N390" s="1465"/>
      <c r="O390" s="1442"/>
      <c r="P390" s="23"/>
      <c r="Q390" s="53"/>
      <c r="R390" s="2514"/>
      <c r="S390" s="2516"/>
      <c r="T390" s="2517"/>
      <c r="U390" s="2516"/>
      <c r="V390" s="2516"/>
      <c r="W390" s="2523">
        <f t="shared" si="44"/>
        <v>0</v>
      </c>
      <c r="X390" s="2538"/>
      <c r="Y390" s="2516"/>
      <c r="Z390" s="2516"/>
    </row>
    <row r="391" spans="1:26" s="9" customFormat="1" ht="18.75">
      <c r="A391" s="74"/>
      <c r="B391" s="75"/>
      <c r="C391" s="126" t="s">
        <v>670</v>
      </c>
      <c r="D391" s="17"/>
      <c r="E391" s="76"/>
      <c r="F391" s="77"/>
      <c r="G391" s="77"/>
      <c r="H391" s="17"/>
      <c r="I391" s="41" t="s">
        <v>573</v>
      </c>
      <c r="J391" s="1141">
        <v>164000</v>
      </c>
      <c r="K391" s="1347">
        <f>'[1]диагн.'!$G$496</f>
        <v>76.967</v>
      </c>
      <c r="L391" s="1324">
        <f>SUM(J391:K391)</f>
        <v>164076.967</v>
      </c>
      <c r="M391" s="1462">
        <f>J391/10000</f>
        <v>16.4</v>
      </c>
      <c r="N391" s="1463">
        <f>K391</f>
        <v>76.967</v>
      </c>
      <c r="O391" s="1440">
        <f>SUM(M391:N391)</f>
        <v>93.36699999999999</v>
      </c>
      <c r="P391" s="23"/>
      <c r="Q391" s="53"/>
      <c r="R391" s="2514">
        <f>T391*1.15</f>
        <v>131905</v>
      </c>
      <c r="S391" s="2516"/>
      <c r="T391" s="2517">
        <v>114700</v>
      </c>
      <c r="U391" s="2516"/>
      <c r="V391" s="2516"/>
      <c r="W391" s="2523">
        <f t="shared" si="44"/>
        <v>164040</v>
      </c>
      <c r="X391" s="2538">
        <v>136700</v>
      </c>
      <c r="Y391" s="2516"/>
      <c r="Z391" s="2516"/>
    </row>
    <row r="392" spans="1:26" s="9" customFormat="1" ht="18">
      <c r="A392" s="74">
        <v>7</v>
      </c>
      <c r="B392" s="75"/>
      <c r="C392" s="126" t="s">
        <v>673</v>
      </c>
      <c r="D392" s="17"/>
      <c r="E392" s="72"/>
      <c r="F392" s="73"/>
      <c r="G392" s="73"/>
      <c r="H392" s="17"/>
      <c r="I392" s="41"/>
      <c r="J392" s="1141"/>
      <c r="K392" s="1347"/>
      <c r="L392" s="1326"/>
      <c r="M392" s="1462"/>
      <c r="N392" s="1465"/>
      <c r="O392" s="1442"/>
      <c r="P392" s="23"/>
      <c r="Q392" s="53"/>
      <c r="R392" s="2514"/>
      <c r="S392" s="2516"/>
      <c r="T392" s="2517"/>
      <c r="U392" s="2516"/>
      <c r="V392" s="2516"/>
      <c r="W392" s="2523">
        <f t="shared" si="44"/>
        <v>0</v>
      </c>
      <c r="X392" s="2538"/>
      <c r="Y392" s="2516"/>
      <c r="Z392" s="2516"/>
    </row>
    <row r="393" spans="1:26" s="9" customFormat="1" ht="18.75">
      <c r="A393" s="74"/>
      <c r="B393" s="75"/>
      <c r="C393" s="126" t="s">
        <v>669</v>
      </c>
      <c r="D393" s="17"/>
      <c r="E393" s="72"/>
      <c r="F393" s="73"/>
      <c r="G393" s="73"/>
      <c r="H393" s="17"/>
      <c r="I393" s="41" t="s">
        <v>573</v>
      </c>
      <c r="J393" s="1141">
        <v>130100</v>
      </c>
      <c r="K393" s="1347">
        <f>'[1]диагн.'!$G$503</f>
        <v>5.17</v>
      </c>
      <c r="L393" s="1324">
        <f>SUM(J393:K393)</f>
        <v>130105.17</v>
      </c>
      <c r="M393" s="1462">
        <f>J393/10000</f>
        <v>13.01</v>
      </c>
      <c r="N393" s="1463">
        <f>K393</f>
        <v>5.17</v>
      </c>
      <c r="O393" s="1440">
        <f>SUM(M393:N393)</f>
        <v>18.18</v>
      </c>
      <c r="P393" s="23"/>
      <c r="Q393" s="53"/>
      <c r="R393" s="2514">
        <f>T393*1.15</f>
        <v>103212.49999999999</v>
      </c>
      <c r="S393" s="2516"/>
      <c r="T393" s="2517">
        <v>89750</v>
      </c>
      <c r="U393" s="2516"/>
      <c r="V393" s="2516"/>
      <c r="W393" s="2523">
        <f t="shared" si="44"/>
        <v>130080</v>
      </c>
      <c r="X393" s="2538">
        <v>108400</v>
      </c>
      <c r="Y393" s="2516"/>
      <c r="Z393" s="2516"/>
    </row>
    <row r="394" spans="1:26" s="9" customFormat="1" ht="18">
      <c r="A394" s="74">
        <v>8</v>
      </c>
      <c r="B394" s="75"/>
      <c r="C394" s="126" t="str">
        <f>C392</f>
        <v>рентгеновская компьютерная томография грудной полости</v>
      </c>
      <c r="D394" s="17"/>
      <c r="E394" s="72"/>
      <c r="F394" s="73"/>
      <c r="G394" s="73"/>
      <c r="H394" s="17"/>
      <c r="I394" s="41"/>
      <c r="J394" s="1141"/>
      <c r="K394" s="1347"/>
      <c r="L394" s="1326"/>
      <c r="M394" s="1462"/>
      <c r="N394" s="1465"/>
      <c r="O394" s="1442"/>
      <c r="P394" s="23"/>
      <c r="Q394" s="53"/>
      <c r="R394" s="2514"/>
      <c r="S394" s="2516"/>
      <c r="T394" s="2517"/>
      <c r="U394" s="2516"/>
      <c r="V394" s="2516"/>
      <c r="W394" s="2523">
        <f t="shared" si="44"/>
        <v>0</v>
      </c>
      <c r="X394" s="2538"/>
      <c r="Y394" s="2516"/>
      <c r="Z394" s="2516"/>
    </row>
    <row r="395" spans="1:26" s="9" customFormat="1" ht="18.75">
      <c r="A395" s="74"/>
      <c r="B395" s="75"/>
      <c r="C395" s="126" t="s">
        <v>670</v>
      </c>
      <c r="D395" s="17"/>
      <c r="E395" s="72"/>
      <c r="F395" s="73"/>
      <c r="G395" s="73"/>
      <c r="H395" s="17"/>
      <c r="I395" s="41" t="s">
        <v>573</v>
      </c>
      <c r="J395" s="1141">
        <v>196300</v>
      </c>
      <c r="K395" s="1347">
        <f>'[1]диагн.'!$G$515</f>
        <v>76.967</v>
      </c>
      <c r="L395" s="1324">
        <f>SUM(J395:K395)</f>
        <v>196376.967</v>
      </c>
      <c r="M395" s="1462">
        <f>J395/10000</f>
        <v>19.63</v>
      </c>
      <c r="N395" s="1463">
        <f>K395</f>
        <v>76.967</v>
      </c>
      <c r="O395" s="1440">
        <f>SUM(M395:N395)</f>
        <v>96.597</v>
      </c>
      <c r="P395" s="23"/>
      <c r="Q395" s="817">
        <f>L395-694900</f>
        <v>-498523.033</v>
      </c>
      <c r="R395" s="2514">
        <f>T395*1.15</f>
        <v>158240</v>
      </c>
      <c r="S395" s="2516"/>
      <c r="T395" s="2517">
        <v>137600</v>
      </c>
      <c r="U395" s="2516"/>
      <c r="V395" s="2516"/>
      <c r="W395" s="2523">
        <f t="shared" si="44"/>
        <v>196320</v>
      </c>
      <c r="X395" s="2538">
        <v>163600</v>
      </c>
      <c r="Y395" s="2516"/>
      <c r="Z395" s="2516"/>
    </row>
    <row r="396" spans="1:26" s="9" customFormat="1" ht="18">
      <c r="A396" s="74">
        <v>9</v>
      </c>
      <c r="B396" s="75"/>
      <c r="C396" s="126" t="s">
        <v>674</v>
      </c>
      <c r="D396" s="17"/>
      <c r="E396" s="72"/>
      <c r="F396" s="73"/>
      <c r="G396" s="73"/>
      <c r="H396" s="17"/>
      <c r="I396" s="41"/>
      <c r="J396" s="1141"/>
      <c r="K396" s="1347"/>
      <c r="L396" s="1326"/>
      <c r="M396" s="1462"/>
      <c r="N396" s="1465"/>
      <c r="O396" s="1442"/>
      <c r="P396" s="23"/>
      <c r="Q396" s="53"/>
      <c r="R396" s="2514"/>
      <c r="S396" s="2516"/>
      <c r="T396" s="2517"/>
      <c r="U396" s="2516"/>
      <c r="V396" s="2516"/>
      <c r="W396" s="2523">
        <f t="shared" si="44"/>
        <v>0</v>
      </c>
      <c r="X396" s="2538"/>
      <c r="Y396" s="2516"/>
      <c r="Z396" s="2516"/>
    </row>
    <row r="397" spans="1:26" s="9" customFormat="1" ht="18.75">
      <c r="A397" s="74"/>
      <c r="B397" s="75"/>
      <c r="C397" s="126" t="s">
        <v>669</v>
      </c>
      <c r="D397" s="17"/>
      <c r="E397" s="72"/>
      <c r="F397" s="73"/>
      <c r="G397" s="73"/>
      <c r="H397" s="17"/>
      <c r="I397" s="41" t="s">
        <v>573</v>
      </c>
      <c r="J397" s="1141">
        <v>130100</v>
      </c>
      <c r="K397" s="1347">
        <f>'[1]диагн.'!$G$522</f>
        <v>5.17</v>
      </c>
      <c r="L397" s="1324">
        <f>SUM(J397:K397)</f>
        <v>130105.17</v>
      </c>
      <c r="M397" s="1462">
        <f>J397/10000</f>
        <v>13.01</v>
      </c>
      <c r="N397" s="1463">
        <f>K397</f>
        <v>5.17</v>
      </c>
      <c r="O397" s="1440">
        <f>SUM(M397:N397)</f>
        <v>18.18</v>
      </c>
      <c r="P397" s="23"/>
      <c r="Q397" s="53"/>
      <c r="R397" s="2514">
        <f>T397*1.15</f>
        <v>103212.49999999999</v>
      </c>
      <c r="S397" s="2516"/>
      <c r="T397" s="2517">
        <v>89750</v>
      </c>
      <c r="U397" s="2516"/>
      <c r="V397" s="2516"/>
      <c r="W397" s="2523">
        <f t="shared" si="44"/>
        <v>130080</v>
      </c>
      <c r="X397" s="2538">
        <v>108400</v>
      </c>
      <c r="Y397" s="2516"/>
      <c r="Z397" s="2516"/>
    </row>
    <row r="398" spans="1:26" s="9" customFormat="1" ht="18">
      <c r="A398" s="74">
        <v>10</v>
      </c>
      <c r="B398" s="75"/>
      <c r="C398" s="126" t="str">
        <f>C396</f>
        <v>рентгеновская компьютерная томография брюшной полости</v>
      </c>
      <c r="D398" s="17"/>
      <c r="E398" s="72"/>
      <c r="F398" s="73"/>
      <c r="G398" s="73"/>
      <c r="H398" s="17"/>
      <c r="I398" s="41"/>
      <c r="J398" s="1141"/>
      <c r="K398" s="1347"/>
      <c r="L398" s="1326"/>
      <c r="M398" s="1462"/>
      <c r="N398" s="1465"/>
      <c r="O398" s="1442"/>
      <c r="P398" s="23"/>
      <c r="Q398" s="53"/>
      <c r="R398" s="2514"/>
      <c r="S398" s="2516"/>
      <c r="T398" s="2517"/>
      <c r="U398" s="2516"/>
      <c r="V398" s="2516"/>
      <c r="W398" s="2523">
        <f t="shared" si="44"/>
        <v>0</v>
      </c>
      <c r="X398" s="2538"/>
      <c r="Y398" s="2516"/>
      <c r="Z398" s="2516"/>
    </row>
    <row r="399" spans="1:26" s="9" customFormat="1" ht="18.75">
      <c r="A399" s="74"/>
      <c r="B399" s="75"/>
      <c r="C399" s="126" t="str">
        <f>C395</f>
        <v>с контрастным  усилением</v>
      </c>
      <c r="D399" s="17"/>
      <c r="E399" s="72"/>
      <c r="F399" s="73"/>
      <c r="G399" s="73"/>
      <c r="H399" s="17"/>
      <c r="I399" s="41" t="s">
        <v>573</v>
      </c>
      <c r="J399" s="1141">
        <v>196300</v>
      </c>
      <c r="K399" s="1347">
        <f>'[1]диагн.'!$G$515</f>
        <v>76.967</v>
      </c>
      <c r="L399" s="1324">
        <f>SUM(J399:K399)</f>
        <v>196376.967</v>
      </c>
      <c r="M399" s="1462">
        <f>J399/10000</f>
        <v>19.63</v>
      </c>
      <c r="N399" s="1463">
        <f>K399</f>
        <v>76.967</v>
      </c>
      <c r="O399" s="1440">
        <f>SUM(M399:N399)</f>
        <v>96.597</v>
      </c>
      <c r="P399" s="23"/>
      <c r="Q399" s="53"/>
      <c r="R399" s="2514">
        <f>T399*1.15</f>
        <v>158240</v>
      </c>
      <c r="S399" s="2516"/>
      <c r="T399" s="2517">
        <v>137600</v>
      </c>
      <c r="U399" s="2516"/>
      <c r="V399" s="2516"/>
      <c r="W399" s="2523">
        <f t="shared" si="44"/>
        <v>196320</v>
      </c>
      <c r="X399" s="2538">
        <v>163600</v>
      </c>
      <c r="Y399" s="2516"/>
      <c r="Z399" s="2516"/>
    </row>
    <row r="400" spans="1:26" s="9" customFormat="1" ht="18">
      <c r="A400" s="74">
        <v>11</v>
      </c>
      <c r="B400" s="75"/>
      <c r="C400" s="126" t="s">
        <v>675</v>
      </c>
      <c r="D400" s="17"/>
      <c r="E400" s="72"/>
      <c r="F400" s="73"/>
      <c r="G400" s="73"/>
      <c r="H400" s="17"/>
      <c r="I400" s="41"/>
      <c r="J400" s="1141"/>
      <c r="K400" s="1347"/>
      <c r="L400" s="1326"/>
      <c r="M400" s="1462"/>
      <c r="N400" s="1465"/>
      <c r="O400" s="1442"/>
      <c r="P400" s="23"/>
      <c r="Q400" s="53"/>
      <c r="R400" s="2514"/>
      <c r="S400" s="2516"/>
      <c r="T400" s="2517"/>
      <c r="U400" s="2516"/>
      <c r="V400" s="2516"/>
      <c r="W400" s="2523">
        <f t="shared" si="44"/>
        <v>0</v>
      </c>
      <c r="X400" s="2538"/>
      <c r="Y400" s="2516"/>
      <c r="Z400" s="2516"/>
    </row>
    <row r="401" spans="1:26" s="9" customFormat="1" ht="18.75">
      <c r="A401" s="74"/>
      <c r="B401" s="75"/>
      <c r="C401" s="126" t="s">
        <v>669</v>
      </c>
      <c r="D401" s="17"/>
      <c r="E401" s="72"/>
      <c r="F401" s="73"/>
      <c r="G401" s="73"/>
      <c r="H401" s="17"/>
      <c r="I401" s="41" t="s">
        <v>573</v>
      </c>
      <c r="J401" s="1141">
        <v>108400</v>
      </c>
      <c r="K401" s="1347">
        <f>'[1]диагн.'!$G$541</f>
        <v>5.17</v>
      </c>
      <c r="L401" s="1324">
        <f>SUM(J401:K401)</f>
        <v>108405.17</v>
      </c>
      <c r="M401" s="1462">
        <f>J401/10000</f>
        <v>10.84</v>
      </c>
      <c r="N401" s="1463">
        <f>K401</f>
        <v>5.17</v>
      </c>
      <c r="O401" s="1440">
        <f>SUM(M401:N401)</f>
        <v>16.009999999999998</v>
      </c>
      <c r="P401" s="23"/>
      <c r="Q401" s="53"/>
      <c r="R401" s="2514">
        <f>T401*1.15</f>
        <v>85962.5</v>
      </c>
      <c r="S401" s="2516"/>
      <c r="T401" s="2517">
        <v>74750</v>
      </c>
      <c r="U401" s="2516"/>
      <c r="V401" s="2516"/>
      <c r="W401" s="2523">
        <f t="shared" si="44"/>
        <v>108360</v>
      </c>
      <c r="X401" s="2538">
        <v>90300</v>
      </c>
      <c r="Y401" s="2516"/>
      <c r="Z401" s="2516"/>
    </row>
    <row r="402" spans="1:26" s="9" customFormat="1" ht="18">
      <c r="A402" s="74">
        <v>12</v>
      </c>
      <c r="B402" s="75"/>
      <c r="C402" s="126" t="str">
        <f>C400</f>
        <v>рентгеновская компьютерная томография таза</v>
      </c>
      <c r="D402" s="17"/>
      <c r="E402" s="72"/>
      <c r="F402" s="73"/>
      <c r="G402" s="73"/>
      <c r="H402" s="17"/>
      <c r="I402" s="41"/>
      <c r="J402" s="1141"/>
      <c r="K402" s="1347"/>
      <c r="L402" s="1326"/>
      <c r="M402" s="1462"/>
      <c r="N402" s="1465"/>
      <c r="O402" s="1442"/>
      <c r="P402" s="23"/>
      <c r="Q402" s="53"/>
      <c r="R402" s="2514"/>
      <c r="S402" s="2516"/>
      <c r="T402" s="2517"/>
      <c r="U402" s="2516"/>
      <c r="V402" s="2516"/>
      <c r="W402" s="2523">
        <f t="shared" si="44"/>
        <v>0</v>
      </c>
      <c r="X402" s="2538"/>
      <c r="Y402" s="2516"/>
      <c r="Z402" s="2516"/>
    </row>
    <row r="403" spans="1:26" s="9" customFormat="1" ht="18.75">
      <c r="A403" s="74"/>
      <c r="B403" s="75"/>
      <c r="C403" s="126" t="str">
        <f>C399</f>
        <v>с контрастным  усилением</v>
      </c>
      <c r="D403" s="17"/>
      <c r="E403" s="72"/>
      <c r="F403" s="73"/>
      <c r="G403" s="73"/>
      <c r="H403" s="17"/>
      <c r="I403" s="41" t="s">
        <v>573</v>
      </c>
      <c r="J403" s="1141">
        <v>164000</v>
      </c>
      <c r="K403" s="1347">
        <f>'[1]диагн.'!$G$553</f>
        <v>77.17699999999999</v>
      </c>
      <c r="L403" s="1324">
        <f>SUM(J403:K403)</f>
        <v>164077.177</v>
      </c>
      <c r="M403" s="1462">
        <f>J403/10000</f>
        <v>16.4</v>
      </c>
      <c r="N403" s="1463">
        <f>K403</f>
        <v>77.17699999999999</v>
      </c>
      <c r="O403" s="1440">
        <f>SUM(M403:N403)</f>
        <v>93.577</v>
      </c>
      <c r="P403" s="23"/>
      <c r="Q403" s="53"/>
      <c r="R403" s="2514">
        <f>T403*1.15</f>
        <v>131905</v>
      </c>
      <c r="S403" s="2516"/>
      <c r="T403" s="2517">
        <v>114700</v>
      </c>
      <c r="U403" s="2516"/>
      <c r="V403" s="2516"/>
      <c r="W403" s="2523">
        <f t="shared" si="44"/>
        <v>164040</v>
      </c>
      <c r="X403" s="2538">
        <v>136700</v>
      </c>
      <c r="Y403" s="2516"/>
      <c r="Z403" s="2516"/>
    </row>
    <row r="404" spans="1:26" s="9" customFormat="1" ht="18">
      <c r="A404" s="74">
        <v>13</v>
      </c>
      <c r="B404" s="75"/>
      <c r="C404" s="126" t="s">
        <v>676</v>
      </c>
      <c r="D404" s="17"/>
      <c r="E404" s="72"/>
      <c r="F404" s="73"/>
      <c r="G404" s="73"/>
      <c r="H404" s="17"/>
      <c r="I404" s="41"/>
      <c r="J404" s="1141"/>
      <c r="K404" s="1347"/>
      <c r="L404" s="1326"/>
      <c r="M404" s="1462"/>
      <c r="N404" s="1465"/>
      <c r="O404" s="1442"/>
      <c r="P404" s="23"/>
      <c r="Q404" s="53"/>
      <c r="R404" s="2514"/>
      <c r="S404" s="2516"/>
      <c r="T404" s="2517"/>
      <c r="U404" s="2516"/>
      <c r="V404" s="2516"/>
      <c r="W404" s="2523">
        <f t="shared" si="44"/>
        <v>0</v>
      </c>
      <c r="X404" s="2538"/>
      <c r="Y404" s="2516"/>
      <c r="Z404" s="2516"/>
    </row>
    <row r="405" spans="1:26" s="9" customFormat="1" ht="18.75">
      <c r="A405" s="74"/>
      <c r="B405" s="75"/>
      <c r="C405" s="126" t="s">
        <v>669</v>
      </c>
      <c r="D405" s="17"/>
      <c r="E405" s="72"/>
      <c r="F405" s="73"/>
      <c r="G405" s="73"/>
      <c r="H405" s="17"/>
      <c r="I405" s="41" t="s">
        <v>573</v>
      </c>
      <c r="J405" s="1141">
        <v>43300</v>
      </c>
      <c r="K405" s="1347">
        <f>'[1]диагн.'!$G$560</f>
        <v>5.17</v>
      </c>
      <c r="L405" s="1324">
        <f>SUM(J405:K405)</f>
        <v>43305.17</v>
      </c>
      <c r="M405" s="1462">
        <f>J405/10000</f>
        <v>4.33</v>
      </c>
      <c r="N405" s="1463">
        <f>K405</f>
        <v>5.17</v>
      </c>
      <c r="O405" s="1440">
        <f>SUM(M405:N405)</f>
        <v>9.5</v>
      </c>
      <c r="P405" s="23"/>
      <c r="Q405" s="53"/>
      <c r="R405" s="2514">
        <f>T405*1.15</f>
        <v>34442.5</v>
      </c>
      <c r="S405" s="2516"/>
      <c r="T405" s="2517">
        <v>29950</v>
      </c>
      <c r="U405" s="2516"/>
      <c r="V405" s="2516"/>
      <c r="W405" s="2523">
        <f t="shared" si="44"/>
        <v>43320</v>
      </c>
      <c r="X405" s="2538">
        <v>36100</v>
      </c>
      <c r="Y405" s="2516"/>
      <c r="Z405" s="2516"/>
    </row>
    <row r="406" spans="1:26" s="9" customFormat="1" ht="18">
      <c r="A406" s="74">
        <v>14</v>
      </c>
      <c r="B406" s="75"/>
      <c r="C406" s="126" t="str">
        <f>C404</f>
        <v>рентгеновская компьютерная томография позвоночного сегмента</v>
      </c>
      <c r="D406" s="17"/>
      <c r="E406" s="72"/>
      <c r="F406" s="73"/>
      <c r="G406" s="73"/>
      <c r="H406" s="17"/>
      <c r="I406" s="41"/>
      <c r="J406" s="1141"/>
      <c r="K406" s="1347"/>
      <c r="L406" s="1326"/>
      <c r="M406" s="1462"/>
      <c r="N406" s="1465"/>
      <c r="O406" s="1442"/>
      <c r="P406" s="23"/>
      <c r="Q406" s="53"/>
      <c r="R406" s="2514"/>
      <c r="S406" s="2516"/>
      <c r="T406" s="2517"/>
      <c r="U406" s="2516"/>
      <c r="V406" s="2516"/>
      <c r="W406" s="2523">
        <f t="shared" si="44"/>
        <v>0</v>
      </c>
      <c r="X406" s="2538"/>
      <c r="Y406" s="2516"/>
      <c r="Z406" s="2516"/>
    </row>
    <row r="407" spans="1:26" s="9" customFormat="1" ht="18.75">
      <c r="A407" s="74"/>
      <c r="B407" s="75"/>
      <c r="C407" s="126" t="str">
        <f>C403</f>
        <v>с контрастным  усилением</v>
      </c>
      <c r="D407" s="17"/>
      <c r="E407" s="72"/>
      <c r="F407" s="73"/>
      <c r="G407" s="73"/>
      <c r="H407" s="17"/>
      <c r="I407" s="41" t="s">
        <v>573</v>
      </c>
      <c r="J407" s="1141">
        <v>65500</v>
      </c>
      <c r="K407" s="1347">
        <f>'[1]диагн.'!$G$572</f>
        <v>77.17699999999999</v>
      </c>
      <c r="L407" s="1324">
        <f>SUM(J407:K407)</f>
        <v>65577.177</v>
      </c>
      <c r="M407" s="1462">
        <f>J407/10000</f>
        <v>6.55</v>
      </c>
      <c r="N407" s="1463">
        <f>K407</f>
        <v>77.17699999999999</v>
      </c>
      <c r="O407" s="1440">
        <f>SUM(M407:N407)</f>
        <v>83.72699999999999</v>
      </c>
      <c r="P407" s="23"/>
      <c r="Q407" s="53"/>
      <c r="R407" s="2514">
        <f>T407*1.15</f>
        <v>52727.49999999999</v>
      </c>
      <c r="S407" s="2516"/>
      <c r="T407" s="2517">
        <v>45850</v>
      </c>
      <c r="U407" s="2516"/>
      <c r="V407" s="2516"/>
      <c r="W407" s="2523">
        <f t="shared" si="44"/>
        <v>65520</v>
      </c>
      <c r="X407" s="2538">
        <v>54600</v>
      </c>
      <c r="Y407" s="2516"/>
      <c r="Z407" s="2516"/>
    </row>
    <row r="408" spans="1:26" s="9" customFormat="1" ht="18">
      <c r="A408" s="74">
        <v>15</v>
      </c>
      <c r="B408" s="75"/>
      <c r="C408" s="126" t="s">
        <v>677</v>
      </c>
      <c r="D408" s="17"/>
      <c r="E408" s="72"/>
      <c r="F408" s="73"/>
      <c r="G408" s="73"/>
      <c r="H408" s="17"/>
      <c r="I408" s="41"/>
      <c r="J408" s="1141"/>
      <c r="K408" s="1347"/>
      <c r="L408" s="1326"/>
      <c r="M408" s="1462"/>
      <c r="N408" s="1465"/>
      <c r="O408" s="1442"/>
      <c r="P408" s="23"/>
      <c r="Q408" s="53"/>
      <c r="R408" s="2514"/>
      <c r="S408" s="2516"/>
      <c r="T408" s="2517"/>
      <c r="U408" s="2516"/>
      <c r="V408" s="2516"/>
      <c r="W408" s="2523">
        <f t="shared" si="44"/>
        <v>0</v>
      </c>
      <c r="X408" s="2538"/>
      <c r="Y408" s="2516"/>
      <c r="Z408" s="2516"/>
    </row>
    <row r="409" spans="1:26" s="9" customFormat="1" ht="18.75">
      <c r="A409" s="74"/>
      <c r="B409" s="75"/>
      <c r="C409" s="126" t="s">
        <v>669</v>
      </c>
      <c r="D409" s="17"/>
      <c r="E409" s="72"/>
      <c r="F409" s="73"/>
      <c r="G409" s="73"/>
      <c r="H409" s="17"/>
      <c r="I409" s="41" t="s">
        <v>573</v>
      </c>
      <c r="J409" s="1141">
        <v>108400</v>
      </c>
      <c r="K409" s="1347">
        <f>'[1]диагн.'!$G$579</f>
        <v>5.17</v>
      </c>
      <c r="L409" s="1324">
        <f>SUM(J409:K409)</f>
        <v>108405.17</v>
      </c>
      <c r="M409" s="1462">
        <f>J409/10000</f>
        <v>10.84</v>
      </c>
      <c r="N409" s="1463">
        <f>K409</f>
        <v>5.17</v>
      </c>
      <c r="O409" s="1440">
        <f>SUM(M409:N409)</f>
        <v>16.009999999999998</v>
      </c>
      <c r="P409" s="23"/>
      <c r="Q409" s="53"/>
      <c r="R409" s="2514">
        <f>T409*1.15</f>
        <v>85962.5</v>
      </c>
      <c r="S409" s="2516"/>
      <c r="T409" s="2517">
        <v>74750</v>
      </c>
      <c r="U409" s="2516"/>
      <c r="V409" s="2516"/>
      <c r="W409" s="2523">
        <f t="shared" si="44"/>
        <v>108360</v>
      </c>
      <c r="X409" s="2538">
        <v>90300</v>
      </c>
      <c r="Y409" s="2516"/>
      <c r="Z409" s="2516"/>
    </row>
    <row r="410" spans="1:26" s="9" customFormat="1" ht="18">
      <c r="A410" s="74">
        <v>16</v>
      </c>
      <c r="B410" s="75"/>
      <c r="C410" s="126" t="str">
        <f>C408</f>
        <v>рентгеновская компьютерная томография отдела позвоника</v>
      </c>
      <c r="D410" s="17"/>
      <c r="E410" s="72"/>
      <c r="F410" s="73"/>
      <c r="G410" s="73"/>
      <c r="H410" s="17"/>
      <c r="I410" s="41"/>
      <c r="J410" s="1141"/>
      <c r="K410" s="1347"/>
      <c r="L410" s="1326"/>
      <c r="M410" s="1462"/>
      <c r="N410" s="1465"/>
      <c r="O410" s="1442"/>
      <c r="P410" s="23"/>
      <c r="Q410" s="53"/>
      <c r="R410" s="2514"/>
      <c r="S410" s="2516"/>
      <c r="T410" s="2517"/>
      <c r="U410" s="2516"/>
      <c r="V410" s="2516"/>
      <c r="W410" s="2523">
        <f t="shared" si="44"/>
        <v>0</v>
      </c>
      <c r="X410" s="2538"/>
      <c r="Y410" s="2516"/>
      <c r="Z410" s="2516"/>
    </row>
    <row r="411" spans="1:26" s="9" customFormat="1" ht="18.75">
      <c r="A411" s="74"/>
      <c r="B411" s="75"/>
      <c r="C411" s="126" t="str">
        <f>C407</f>
        <v>с контрастным  усилением</v>
      </c>
      <c r="D411" s="17"/>
      <c r="E411" s="72"/>
      <c r="F411" s="73"/>
      <c r="G411" s="73"/>
      <c r="H411" s="17"/>
      <c r="I411" s="41" t="s">
        <v>573</v>
      </c>
      <c r="J411" s="1141">
        <v>164000</v>
      </c>
      <c r="K411" s="1347">
        <f>'[1]диагн.'!$G$591</f>
        <v>77.17699999999999</v>
      </c>
      <c r="L411" s="1324">
        <f>SUM(J411:K411)</f>
        <v>164077.177</v>
      </c>
      <c r="M411" s="1462">
        <f>J411/10000</f>
        <v>16.4</v>
      </c>
      <c r="N411" s="1463">
        <f>K411</f>
        <v>77.17699999999999</v>
      </c>
      <c r="O411" s="1440">
        <f>SUM(M411:N411)</f>
        <v>93.577</v>
      </c>
      <c r="P411" s="23"/>
      <c r="Q411" s="53"/>
      <c r="R411" s="2514">
        <f>T411*1.15</f>
        <v>131905</v>
      </c>
      <c r="S411" s="2516"/>
      <c r="T411" s="2517">
        <v>114700</v>
      </c>
      <c r="U411" s="2516"/>
      <c r="V411" s="2516"/>
      <c r="W411" s="2523">
        <f t="shared" si="44"/>
        <v>164040</v>
      </c>
      <c r="X411" s="2538">
        <v>136700</v>
      </c>
      <c r="Y411" s="2516"/>
      <c r="Z411" s="2516"/>
    </row>
    <row r="412" spans="1:26" s="9" customFormat="1" ht="18">
      <c r="A412" s="74">
        <v>17</v>
      </c>
      <c r="B412" s="75"/>
      <c r="C412" s="126" t="s">
        <v>678</v>
      </c>
      <c r="D412" s="17"/>
      <c r="E412" s="72"/>
      <c r="F412" s="73"/>
      <c r="G412" s="73"/>
      <c r="H412" s="17"/>
      <c r="I412" s="41"/>
      <c r="J412" s="1141"/>
      <c r="K412" s="1347"/>
      <c r="L412" s="1326"/>
      <c r="M412" s="1462"/>
      <c r="N412" s="1465"/>
      <c r="O412" s="1442"/>
      <c r="P412" s="23"/>
      <c r="Q412" s="53"/>
      <c r="R412" s="2514"/>
      <c r="S412" s="2516"/>
      <c r="T412" s="2517"/>
      <c r="U412" s="2516"/>
      <c r="V412" s="2516"/>
      <c r="W412" s="2523">
        <f t="shared" si="44"/>
        <v>0</v>
      </c>
      <c r="X412" s="2538"/>
      <c r="Y412" s="2516"/>
      <c r="Z412" s="2516"/>
    </row>
    <row r="413" spans="1:26" s="9" customFormat="1" ht="18.75">
      <c r="A413" s="74"/>
      <c r="B413" s="75"/>
      <c r="C413" s="126" t="s">
        <v>669</v>
      </c>
      <c r="D413" s="17"/>
      <c r="E413" s="72"/>
      <c r="F413" s="73"/>
      <c r="G413" s="73"/>
      <c r="H413" s="17"/>
      <c r="I413" s="41" t="s">
        <v>573</v>
      </c>
      <c r="J413" s="1141">
        <v>108400</v>
      </c>
      <c r="K413" s="1347">
        <f>'[1]диагн.'!$G$598</f>
        <v>5.17</v>
      </c>
      <c r="L413" s="1324">
        <f>SUM(J413:K413)</f>
        <v>108405.17</v>
      </c>
      <c r="M413" s="1462">
        <f>J413/10000</f>
        <v>10.84</v>
      </c>
      <c r="N413" s="1463">
        <f>K413</f>
        <v>5.17</v>
      </c>
      <c r="O413" s="1440">
        <f>SUM(M413:N413)</f>
        <v>16.009999999999998</v>
      </c>
      <c r="P413" s="23"/>
      <c r="Q413" s="53"/>
      <c r="R413" s="2514">
        <f aca="true" t="shared" si="49" ref="R413:R422">T413*1.15</f>
        <v>85962.5</v>
      </c>
      <c r="S413" s="2516"/>
      <c r="T413" s="2517">
        <v>74750</v>
      </c>
      <c r="U413" s="2516"/>
      <c r="V413" s="2516"/>
      <c r="W413" s="2523">
        <f t="shared" si="44"/>
        <v>108360</v>
      </c>
      <c r="X413" s="2538">
        <v>90300</v>
      </c>
      <c r="Y413" s="2516"/>
      <c r="Z413" s="2516"/>
    </row>
    <row r="414" spans="1:26" s="9" customFormat="1" ht="18">
      <c r="A414" s="74">
        <v>18</v>
      </c>
      <c r="B414" s="75"/>
      <c r="C414" s="126" t="str">
        <f>C412</f>
        <v>рентгеновская компьютерная томография костей и суставов</v>
      </c>
      <c r="D414" s="17"/>
      <c r="E414" s="72"/>
      <c r="F414" s="73"/>
      <c r="G414" s="73"/>
      <c r="H414" s="17"/>
      <c r="I414" s="41"/>
      <c r="J414" s="1141"/>
      <c r="K414" s="1347"/>
      <c r="L414" s="1326"/>
      <c r="M414" s="1462"/>
      <c r="N414" s="1465"/>
      <c r="O414" s="1442"/>
      <c r="P414" s="23"/>
      <c r="Q414" s="53"/>
      <c r="R414" s="2514"/>
      <c r="S414" s="2516"/>
      <c r="T414" s="2517"/>
      <c r="U414" s="2516"/>
      <c r="V414" s="2516"/>
      <c r="W414" s="2523">
        <f t="shared" si="44"/>
        <v>0</v>
      </c>
      <c r="X414" s="2538"/>
      <c r="Y414" s="2516"/>
      <c r="Z414" s="2516"/>
    </row>
    <row r="415" spans="1:26" s="9" customFormat="1" ht="18.75">
      <c r="A415" s="74"/>
      <c r="B415" s="75"/>
      <c r="C415" s="126" t="str">
        <f>C411</f>
        <v>с контрастным  усилением</v>
      </c>
      <c r="D415" s="17"/>
      <c r="E415" s="72"/>
      <c r="F415" s="73"/>
      <c r="G415" s="73"/>
      <c r="H415" s="17"/>
      <c r="I415" s="41" t="s">
        <v>573</v>
      </c>
      <c r="J415" s="1141">
        <v>164000</v>
      </c>
      <c r="K415" s="1347">
        <f>'[1]диагн.'!$G$591</f>
        <v>77.17699999999999</v>
      </c>
      <c r="L415" s="1324">
        <f>SUM(J415:K415)</f>
        <v>164077.177</v>
      </c>
      <c r="M415" s="1462">
        <f>J415/10000</f>
        <v>16.4</v>
      </c>
      <c r="N415" s="1463">
        <f>K415</f>
        <v>77.17699999999999</v>
      </c>
      <c r="O415" s="1440">
        <f>SUM(M415:N415)</f>
        <v>93.577</v>
      </c>
      <c r="P415" s="23"/>
      <c r="Q415" s="53"/>
      <c r="R415" s="2514">
        <f t="shared" si="49"/>
        <v>131905</v>
      </c>
      <c r="S415" s="2516"/>
      <c r="T415" s="2517">
        <v>114700</v>
      </c>
      <c r="U415" s="2516"/>
      <c r="V415" s="2516"/>
      <c r="W415" s="2523">
        <f t="shared" si="44"/>
        <v>164040</v>
      </c>
      <c r="X415" s="2538">
        <v>136700</v>
      </c>
      <c r="Y415" s="2516"/>
      <c r="Z415" s="2516"/>
    </row>
    <row r="416" spans="1:26" s="9" customFormat="1" ht="18.75">
      <c r="A416" s="74">
        <v>19</v>
      </c>
      <c r="B416" s="75"/>
      <c r="C416" s="126" t="s">
        <v>679</v>
      </c>
      <c r="D416" s="17"/>
      <c r="E416" s="72"/>
      <c r="F416" s="73"/>
      <c r="G416" s="73"/>
      <c r="H416" s="17"/>
      <c r="I416" s="41" t="s">
        <v>573</v>
      </c>
      <c r="J416" s="1141">
        <v>216700</v>
      </c>
      <c r="K416" s="1347">
        <f>'[1]диагн.'!$G$621</f>
        <v>76.967</v>
      </c>
      <c r="L416" s="1324">
        <f aca="true" t="shared" si="50" ref="L416:L422">SUM(J416:K416)</f>
        <v>216776.967</v>
      </c>
      <c r="M416" s="1462">
        <f>J416/10000</f>
        <v>21.67</v>
      </c>
      <c r="N416" s="1463">
        <f>K416</f>
        <v>76.967</v>
      </c>
      <c r="O416" s="1440">
        <f>SUM(M416:N416)</f>
        <v>98.637</v>
      </c>
      <c r="P416" s="23"/>
      <c r="Q416" s="817">
        <f>L416-967450</f>
        <v>-750673.033</v>
      </c>
      <c r="R416" s="2514">
        <f t="shared" si="49"/>
        <v>171982.5</v>
      </c>
      <c r="S416" s="2516"/>
      <c r="T416" s="2517">
        <v>149550</v>
      </c>
      <c r="U416" s="2516"/>
      <c r="V416" s="2516"/>
      <c r="W416" s="2523">
        <f t="shared" si="44"/>
        <v>216720</v>
      </c>
      <c r="X416" s="2538">
        <v>180600</v>
      </c>
      <c r="Y416" s="2516"/>
      <c r="Z416" s="2516"/>
    </row>
    <row r="417" spans="1:26" s="9" customFormat="1" ht="18.75">
      <c r="A417" s="74">
        <v>20</v>
      </c>
      <c r="B417" s="78"/>
      <c r="C417" s="631" t="s">
        <v>680</v>
      </c>
      <c r="D417" s="17"/>
      <c r="E417" s="72"/>
      <c r="F417" s="73"/>
      <c r="G417" s="73"/>
      <c r="H417" s="17"/>
      <c r="I417" s="41"/>
      <c r="J417" s="1141"/>
      <c r="K417" s="1347"/>
      <c r="L417" s="1324"/>
      <c r="M417" s="1462"/>
      <c r="N417" s="1465"/>
      <c r="O417" s="1440"/>
      <c r="P417" s="23"/>
      <c r="Q417" s="53"/>
      <c r="R417" s="2514"/>
      <c r="S417" s="2516"/>
      <c r="T417" s="2517"/>
      <c r="U417" s="2516"/>
      <c r="V417" s="2516"/>
      <c r="W417" s="2523">
        <f t="shared" si="44"/>
        <v>0</v>
      </c>
      <c r="X417" s="2538"/>
      <c r="Y417" s="2516"/>
      <c r="Z417" s="2516"/>
    </row>
    <row r="418" spans="1:26" s="9" customFormat="1" ht="18.75">
      <c r="A418" s="74" t="s">
        <v>681</v>
      </c>
      <c r="B418" s="75"/>
      <c r="C418" s="126" t="s">
        <v>682</v>
      </c>
      <c r="D418" s="17"/>
      <c r="E418" s="72"/>
      <c r="F418" s="73"/>
      <c r="G418" s="73"/>
      <c r="H418" s="17"/>
      <c r="I418" s="41" t="s">
        <v>573</v>
      </c>
      <c r="J418" s="1141">
        <v>75200</v>
      </c>
      <c r="K418" s="1347"/>
      <c r="L418" s="1324">
        <f t="shared" si="50"/>
        <v>75200</v>
      </c>
      <c r="M418" s="1462">
        <f>J418/10000</f>
        <v>7.52</v>
      </c>
      <c r="N418" s="1463">
        <f>K418</f>
        <v>0</v>
      </c>
      <c r="O418" s="1440">
        <f>SUM(M418:N418)</f>
        <v>7.52</v>
      </c>
      <c r="P418" s="23"/>
      <c r="Q418" s="53"/>
      <c r="R418" s="2514">
        <f t="shared" si="49"/>
        <v>59167.49999999999</v>
      </c>
      <c r="S418" s="2516"/>
      <c r="T418" s="2517">
        <v>51450</v>
      </c>
      <c r="U418" s="2516"/>
      <c r="V418" s="2516"/>
      <c r="W418" s="2523">
        <f t="shared" si="44"/>
        <v>75240</v>
      </c>
      <c r="X418" s="2538">
        <v>62700</v>
      </c>
      <c r="Y418" s="2516"/>
      <c r="Z418" s="2516"/>
    </row>
    <row r="419" spans="1:26" s="9" customFormat="1" ht="18.75">
      <c r="A419" s="74" t="s">
        <v>683</v>
      </c>
      <c r="B419" s="75"/>
      <c r="C419" s="126" t="s">
        <v>684</v>
      </c>
      <c r="D419" s="17"/>
      <c r="E419" s="72"/>
      <c r="F419" s="73"/>
      <c r="G419" s="73"/>
      <c r="H419" s="17"/>
      <c r="I419" s="41" t="s">
        <v>573</v>
      </c>
      <c r="J419" s="1141">
        <v>90200</v>
      </c>
      <c r="K419" s="1347"/>
      <c r="L419" s="1324">
        <f t="shared" si="50"/>
        <v>90200</v>
      </c>
      <c r="M419" s="1462">
        <f>J419/10000</f>
        <v>9.02</v>
      </c>
      <c r="N419" s="1463">
        <f>K419</f>
        <v>0</v>
      </c>
      <c r="O419" s="1440">
        <f>SUM(M419:N419)</f>
        <v>9.02</v>
      </c>
      <c r="P419" s="23"/>
      <c r="Q419" s="53"/>
      <c r="R419" s="2514">
        <f t="shared" si="49"/>
        <v>71012.5</v>
      </c>
      <c r="S419" s="2516"/>
      <c r="T419" s="2517">
        <v>61750</v>
      </c>
      <c r="U419" s="2516"/>
      <c r="V419" s="2516"/>
      <c r="W419" s="2523">
        <f t="shared" si="44"/>
        <v>90240</v>
      </c>
      <c r="X419" s="2538">
        <v>75200</v>
      </c>
      <c r="Y419" s="2516"/>
      <c r="Z419" s="2516"/>
    </row>
    <row r="420" spans="1:26" s="9" customFormat="1" ht="18.75">
      <c r="A420" s="74" t="s">
        <v>685</v>
      </c>
      <c r="B420" s="75"/>
      <c r="C420" s="126" t="s">
        <v>686</v>
      </c>
      <c r="D420" s="17"/>
      <c r="E420" s="79"/>
      <c r="F420" s="79"/>
      <c r="G420" s="79"/>
      <c r="H420" s="17"/>
      <c r="I420" s="41" t="s">
        <v>573</v>
      </c>
      <c r="J420" s="1141">
        <v>90200</v>
      </c>
      <c r="K420" s="1347"/>
      <c r="L420" s="1324">
        <f t="shared" si="50"/>
        <v>90200</v>
      </c>
      <c r="M420" s="1462">
        <f>J420/10000</f>
        <v>9.02</v>
      </c>
      <c r="N420" s="1463">
        <f>K420</f>
        <v>0</v>
      </c>
      <c r="O420" s="1440">
        <f>SUM(M420:N420)</f>
        <v>9.02</v>
      </c>
      <c r="P420" s="23"/>
      <c r="Q420" s="53"/>
      <c r="R420" s="2514">
        <f t="shared" si="49"/>
        <v>71012.5</v>
      </c>
      <c r="S420" s="2516"/>
      <c r="T420" s="2517">
        <v>61750</v>
      </c>
      <c r="U420" s="2516"/>
      <c r="V420" s="2516"/>
      <c r="W420" s="2523">
        <f t="shared" si="44"/>
        <v>90240</v>
      </c>
      <c r="X420" s="2538">
        <v>75200</v>
      </c>
      <c r="Y420" s="2516"/>
      <c r="Z420" s="2516"/>
    </row>
    <row r="421" spans="1:26" s="9" customFormat="1" ht="18.75">
      <c r="A421" s="80" t="s">
        <v>687</v>
      </c>
      <c r="B421" s="81"/>
      <c r="C421" s="632" t="s">
        <v>688</v>
      </c>
      <c r="D421" s="17"/>
      <c r="E421" s="79"/>
      <c r="F421" s="79"/>
      <c r="G421" s="79"/>
      <c r="H421" s="17"/>
      <c r="I421" s="41" t="s">
        <v>573</v>
      </c>
      <c r="J421" s="1141">
        <v>90200</v>
      </c>
      <c r="K421" s="1347"/>
      <c r="L421" s="1324">
        <f t="shared" si="50"/>
        <v>90200</v>
      </c>
      <c r="M421" s="1462">
        <f>J421/10000</f>
        <v>9.02</v>
      </c>
      <c r="N421" s="1463">
        <f>K421</f>
        <v>0</v>
      </c>
      <c r="O421" s="1440">
        <f>SUM(M421:N421)</f>
        <v>9.02</v>
      </c>
      <c r="P421" s="23"/>
      <c r="Q421" s="53"/>
      <c r="R421" s="2514">
        <f t="shared" si="49"/>
        <v>71012.5</v>
      </c>
      <c r="S421" s="2516"/>
      <c r="T421" s="2517">
        <v>61750</v>
      </c>
      <c r="U421" s="2516"/>
      <c r="V421" s="2516"/>
      <c r="W421" s="2523">
        <f t="shared" si="44"/>
        <v>90240</v>
      </c>
      <c r="X421" s="2538">
        <v>75200</v>
      </c>
      <c r="Y421" s="2516"/>
      <c r="Z421" s="2516"/>
    </row>
    <row r="422" spans="1:26" s="9" customFormat="1" ht="18.75">
      <c r="A422" s="74" t="s">
        <v>689</v>
      </c>
      <c r="B422" s="75"/>
      <c r="C422" s="126" t="s">
        <v>690</v>
      </c>
      <c r="D422" s="17"/>
      <c r="E422" s="79"/>
      <c r="F422" s="79"/>
      <c r="G422" s="79"/>
      <c r="H422" s="17"/>
      <c r="I422" s="41" t="s">
        <v>573</v>
      </c>
      <c r="J422" s="1141">
        <v>75200</v>
      </c>
      <c r="K422" s="1347"/>
      <c r="L422" s="1324">
        <f t="shared" si="50"/>
        <v>75200</v>
      </c>
      <c r="M422" s="1462">
        <f>J422/10000</f>
        <v>7.52</v>
      </c>
      <c r="N422" s="1463">
        <f>K422</f>
        <v>0</v>
      </c>
      <c r="O422" s="1440">
        <f>SUM(M422:N422)</f>
        <v>7.52</v>
      </c>
      <c r="P422" s="23"/>
      <c r="Q422" s="53"/>
      <c r="R422" s="2514">
        <f t="shared" si="49"/>
        <v>59167.49999999999</v>
      </c>
      <c r="S422" s="2516"/>
      <c r="T422" s="2517">
        <v>51450</v>
      </c>
      <c r="U422" s="2516"/>
      <c r="V422" s="2516"/>
      <c r="W422" s="2523">
        <f t="shared" si="44"/>
        <v>75240</v>
      </c>
      <c r="X422" s="2538">
        <v>62700</v>
      </c>
      <c r="Y422" s="2516"/>
      <c r="Z422" s="2516"/>
    </row>
    <row r="423" spans="1:26" s="9" customFormat="1" ht="18">
      <c r="A423" s="74" t="s">
        <v>691</v>
      </c>
      <c r="B423" s="81"/>
      <c r="C423" s="632" t="s">
        <v>693</v>
      </c>
      <c r="D423" s="17"/>
      <c r="E423" s="79"/>
      <c r="F423" s="79"/>
      <c r="G423" s="79"/>
      <c r="H423" s="17"/>
      <c r="I423" s="41"/>
      <c r="J423" s="1141"/>
      <c r="K423" s="1347"/>
      <c r="L423" s="1326"/>
      <c r="M423" s="1462"/>
      <c r="N423" s="1465"/>
      <c r="O423" s="1442"/>
      <c r="P423" s="23"/>
      <c r="Q423" s="53"/>
      <c r="R423" s="2516"/>
      <c r="S423" s="2516"/>
      <c r="T423" s="2517"/>
      <c r="U423" s="2516"/>
      <c r="V423" s="2516"/>
      <c r="W423" s="2523">
        <f t="shared" si="44"/>
        <v>0</v>
      </c>
      <c r="X423" s="2538"/>
      <c r="Y423" s="2516"/>
      <c r="Z423" s="2516"/>
    </row>
    <row r="424" spans="1:26" s="9" customFormat="1" ht="18">
      <c r="A424" s="74"/>
      <c r="B424" s="81"/>
      <c r="C424" s="632" t="s">
        <v>694</v>
      </c>
      <c r="D424" s="17"/>
      <c r="E424" s="79"/>
      <c r="F424" s="79"/>
      <c r="G424" s="79"/>
      <c r="H424" s="17"/>
      <c r="I424" s="41"/>
      <c r="J424" s="1141"/>
      <c r="K424" s="1347"/>
      <c r="L424" s="1326"/>
      <c r="M424" s="1462"/>
      <c r="N424" s="1465"/>
      <c r="O424" s="1442"/>
      <c r="P424" s="23"/>
      <c r="Q424" s="53"/>
      <c r="R424" s="2516"/>
      <c r="S424" s="2516"/>
      <c r="T424" s="2517"/>
      <c r="U424" s="2516"/>
      <c r="V424" s="2516"/>
      <c r="W424" s="2523">
        <f t="shared" si="44"/>
        <v>0</v>
      </c>
      <c r="X424" s="2538"/>
      <c r="Y424" s="2516"/>
      <c r="Z424" s="2516"/>
    </row>
    <row r="425" spans="1:26" s="9" customFormat="1" ht="18.75">
      <c r="A425" s="74"/>
      <c r="B425" s="81"/>
      <c r="C425" s="632" t="s">
        <v>695</v>
      </c>
      <c r="D425" s="17"/>
      <c r="E425" s="79"/>
      <c r="F425" s="79"/>
      <c r="G425" s="79"/>
      <c r="H425" s="17"/>
      <c r="I425" s="41" t="s">
        <v>573</v>
      </c>
      <c r="J425" s="1141">
        <v>90200</v>
      </c>
      <c r="K425" s="1347"/>
      <c r="L425" s="1324">
        <f>SUM(J425:K425)</f>
        <v>90200</v>
      </c>
      <c r="M425" s="1462">
        <f>J425/10000</f>
        <v>9.02</v>
      </c>
      <c r="N425" s="1463">
        <f>K425</f>
        <v>0</v>
      </c>
      <c r="O425" s="1440">
        <f>SUM(M425:N425)</f>
        <v>9.02</v>
      </c>
      <c r="P425" s="23"/>
      <c r="Q425" s="53"/>
      <c r="R425" s="2514">
        <f>T425*1.15</f>
        <v>71012.5</v>
      </c>
      <c r="S425" s="2516"/>
      <c r="T425" s="2517">
        <v>61750</v>
      </c>
      <c r="U425" s="2516"/>
      <c r="V425" s="2516"/>
      <c r="W425" s="2523">
        <f t="shared" si="44"/>
        <v>90240</v>
      </c>
      <c r="X425" s="2538">
        <v>75200</v>
      </c>
      <c r="Y425" s="2516"/>
      <c r="Z425" s="2516"/>
    </row>
    <row r="426" spans="1:26" s="9" customFormat="1" ht="18">
      <c r="A426" s="74" t="s">
        <v>696</v>
      </c>
      <c r="B426" s="75"/>
      <c r="C426" s="126" t="s">
        <v>697</v>
      </c>
      <c r="D426" s="17"/>
      <c r="E426" s="79"/>
      <c r="F426" s="79"/>
      <c r="G426" s="79"/>
      <c r="H426" s="17"/>
      <c r="I426" s="41"/>
      <c r="J426" s="1141"/>
      <c r="K426" s="1347"/>
      <c r="L426" s="1326"/>
      <c r="M426" s="1462"/>
      <c r="N426" s="1465"/>
      <c r="O426" s="1442"/>
      <c r="P426" s="23"/>
      <c r="Q426" s="53"/>
      <c r="R426" s="2516"/>
      <c r="S426" s="2516"/>
      <c r="T426" s="2517"/>
      <c r="U426" s="2516"/>
      <c r="V426" s="2516"/>
      <c r="W426" s="2523">
        <f t="shared" si="44"/>
        <v>0</v>
      </c>
      <c r="X426" s="2538"/>
      <c r="Y426" s="2516"/>
      <c r="Z426" s="2516"/>
    </row>
    <row r="427" spans="1:26" s="9" customFormat="1" ht="18">
      <c r="A427" s="74"/>
      <c r="B427" s="75"/>
      <c r="C427" s="126" t="s">
        <v>698</v>
      </c>
      <c r="D427" s="17"/>
      <c r="E427" s="79"/>
      <c r="F427" s="79"/>
      <c r="G427" s="79"/>
      <c r="H427" s="17"/>
      <c r="I427" s="41"/>
      <c r="J427" s="1141"/>
      <c r="K427" s="1347"/>
      <c r="L427" s="1326"/>
      <c r="M427" s="1462"/>
      <c r="N427" s="1465"/>
      <c r="O427" s="1442"/>
      <c r="P427" s="23"/>
      <c r="Q427" s="53"/>
      <c r="R427" s="2516"/>
      <c r="S427" s="2516"/>
      <c r="T427" s="2517"/>
      <c r="U427" s="2516"/>
      <c r="V427" s="2516"/>
      <c r="W427" s="2523">
        <f t="shared" si="44"/>
        <v>0</v>
      </c>
      <c r="X427" s="2538"/>
      <c r="Y427" s="2516"/>
      <c r="Z427" s="2516"/>
    </row>
    <row r="428" spans="1:26" s="9" customFormat="1" ht="18">
      <c r="A428" s="82"/>
      <c r="B428" s="81"/>
      <c r="C428" s="632" t="s">
        <v>699</v>
      </c>
      <c r="D428" s="17"/>
      <c r="E428" s="79"/>
      <c r="F428" s="79"/>
      <c r="G428" s="79"/>
      <c r="H428" s="17"/>
      <c r="I428" s="41"/>
      <c r="J428" s="1141"/>
      <c r="K428" s="1347"/>
      <c r="L428" s="1326"/>
      <c r="M428" s="1462"/>
      <c r="N428" s="1465"/>
      <c r="O428" s="1442"/>
      <c r="P428" s="23"/>
      <c r="Q428" s="53"/>
      <c r="R428" s="2516"/>
      <c r="S428" s="2516"/>
      <c r="T428" s="2517"/>
      <c r="U428" s="2516"/>
      <c r="V428" s="2516"/>
      <c r="W428" s="2523">
        <f t="shared" si="44"/>
        <v>0</v>
      </c>
      <c r="X428" s="2538"/>
      <c r="Y428" s="2516"/>
      <c r="Z428" s="2516"/>
    </row>
    <row r="429" spans="1:26" s="9" customFormat="1" ht="18.75">
      <c r="A429" s="82"/>
      <c r="B429" s="81"/>
      <c r="C429" s="632" t="s">
        <v>700</v>
      </c>
      <c r="D429" s="17"/>
      <c r="E429" s="79"/>
      <c r="F429" s="79"/>
      <c r="G429" s="79"/>
      <c r="H429" s="17"/>
      <c r="I429" s="41" t="s">
        <v>573</v>
      </c>
      <c r="J429" s="1141">
        <v>150500</v>
      </c>
      <c r="K429" s="1347"/>
      <c r="L429" s="1324">
        <f>SUM(J429:K429)</f>
        <v>150500</v>
      </c>
      <c r="M429" s="1462">
        <f>J429/10000</f>
        <v>15.05</v>
      </c>
      <c r="N429" s="1463">
        <f>K429</f>
        <v>0</v>
      </c>
      <c r="O429" s="1440">
        <f>SUM(M429:N429)</f>
        <v>15.05</v>
      </c>
      <c r="P429" s="23"/>
      <c r="Q429" s="53"/>
      <c r="R429" s="2514">
        <f>T429*1.15</f>
        <v>118334.99999999999</v>
      </c>
      <c r="S429" s="2516"/>
      <c r="T429" s="2517">
        <v>102900</v>
      </c>
      <c r="U429" s="2516"/>
      <c r="V429" s="2516"/>
      <c r="W429" s="2523">
        <f t="shared" si="44"/>
        <v>150480</v>
      </c>
      <c r="X429" s="2538">
        <v>125400</v>
      </c>
      <c r="Y429" s="2516"/>
      <c r="Z429" s="2516"/>
    </row>
    <row r="430" spans="1:26" s="9" customFormat="1" ht="18">
      <c r="A430" s="68"/>
      <c r="B430" s="67"/>
      <c r="C430" s="26"/>
      <c r="D430" s="3"/>
      <c r="E430" s="3"/>
      <c r="F430" s="48"/>
      <c r="G430" s="48"/>
      <c r="H430" s="10"/>
      <c r="I430" s="41"/>
      <c r="J430" s="1141"/>
      <c r="K430" s="1347"/>
      <c r="L430" s="1326"/>
      <c r="M430" s="1462"/>
      <c r="N430" s="1465"/>
      <c r="O430" s="1442"/>
      <c r="P430" s="23"/>
      <c r="Q430" s="53"/>
      <c r="R430" s="2516"/>
      <c r="S430" s="2516"/>
      <c r="T430" s="2516"/>
      <c r="U430" s="2516"/>
      <c r="V430" s="2516"/>
      <c r="W430" s="2523">
        <f t="shared" si="44"/>
        <v>0</v>
      </c>
      <c r="X430" s="2538"/>
      <c r="Y430" s="2516"/>
      <c r="Z430" s="2516"/>
    </row>
    <row r="431" spans="1:24" ht="18">
      <c r="A431" s="1011">
        <v>12</v>
      </c>
      <c r="B431" s="107" t="s">
        <v>701</v>
      </c>
      <c r="C431" s="1012"/>
      <c r="D431" s="3"/>
      <c r="E431" s="3"/>
      <c r="I431" s="41"/>
      <c r="J431" s="1141"/>
      <c r="K431" s="1347"/>
      <c r="L431" s="1326"/>
      <c r="M431" s="1462"/>
      <c r="N431" s="1465"/>
      <c r="O431" s="1442"/>
      <c r="P431" s="23"/>
      <c r="W431" s="2523">
        <f t="shared" si="44"/>
        <v>0</v>
      </c>
      <c r="X431" s="2538"/>
    </row>
    <row r="432" spans="1:26" s="19" customFormat="1" ht="18">
      <c r="A432" s="11"/>
      <c r="B432" s="66"/>
      <c r="C432" s="1545" t="s">
        <v>702</v>
      </c>
      <c r="D432" s="3"/>
      <c r="E432" s="3"/>
      <c r="F432" s="2"/>
      <c r="G432" s="2"/>
      <c r="H432" s="2"/>
      <c r="I432" s="41"/>
      <c r="J432" s="1141"/>
      <c r="K432" s="1347"/>
      <c r="L432" s="1327"/>
      <c r="M432" s="1462"/>
      <c r="N432" s="1465"/>
      <c r="O432" s="1441"/>
      <c r="P432" s="22"/>
      <c r="Q432" s="6"/>
      <c r="R432" s="2509"/>
      <c r="S432" s="2509"/>
      <c r="T432" s="2509"/>
      <c r="U432" s="2509"/>
      <c r="V432" s="2509"/>
      <c r="W432" s="2523">
        <f t="shared" si="44"/>
        <v>0</v>
      </c>
      <c r="X432" s="2538"/>
      <c r="Y432" s="2509"/>
      <c r="Z432" s="2509"/>
    </row>
    <row r="433" spans="1:26" s="19" customFormat="1" ht="18.75">
      <c r="A433" s="11">
        <v>1</v>
      </c>
      <c r="B433" s="67"/>
      <c r="C433" s="1546" t="s">
        <v>703</v>
      </c>
      <c r="D433" s="3"/>
      <c r="E433" s="3"/>
      <c r="F433" s="10"/>
      <c r="G433" s="10"/>
      <c r="H433" s="10"/>
      <c r="I433" s="41"/>
      <c r="J433" s="1141"/>
      <c r="K433" s="1347"/>
      <c r="L433" s="1324"/>
      <c r="M433" s="1462"/>
      <c r="N433" s="1465"/>
      <c r="O433" s="1440"/>
      <c r="P433" s="22"/>
      <c r="Q433" s="6"/>
      <c r="R433" s="2509"/>
      <c r="S433" s="2509"/>
      <c r="T433" s="2509"/>
      <c r="U433" s="2509"/>
      <c r="V433" s="2509"/>
      <c r="W433" s="2523">
        <f t="shared" si="44"/>
        <v>0</v>
      </c>
      <c r="X433" s="2538"/>
      <c r="Y433" s="2509"/>
      <c r="Z433" s="2509"/>
    </row>
    <row r="434" spans="1:26" s="19" customFormat="1" ht="18.75">
      <c r="A434" s="11"/>
      <c r="B434" s="83" t="s">
        <v>622</v>
      </c>
      <c r="C434" s="126" t="s">
        <v>704</v>
      </c>
      <c r="D434" s="3"/>
      <c r="E434" s="3"/>
      <c r="F434" s="10"/>
      <c r="G434" s="10"/>
      <c r="H434" s="10"/>
      <c r="I434" s="41" t="s">
        <v>573</v>
      </c>
      <c r="J434" s="1141">
        <v>29600</v>
      </c>
      <c r="K434" s="1395">
        <f>'[1]диагн.'!$G$630</f>
        <v>0.30000000000000004</v>
      </c>
      <c r="L434" s="1324">
        <f aca="true" t="shared" si="51" ref="L434:L498">SUM(J434:K434)</f>
        <v>29600.3</v>
      </c>
      <c r="M434" s="1462">
        <f>J434/10000</f>
        <v>2.96</v>
      </c>
      <c r="N434" s="1463">
        <f>K434</f>
        <v>0.30000000000000004</v>
      </c>
      <c r="O434" s="1440">
        <f>SUM(M434:N434)</f>
        <v>3.26</v>
      </c>
      <c r="P434" s="22"/>
      <c r="Q434" s="6"/>
      <c r="R434" s="2514">
        <f aca="true" t="shared" si="52" ref="R434:R444">T434*1.15</f>
        <v>14259.999999999998</v>
      </c>
      <c r="S434" s="2509"/>
      <c r="T434" s="2517">
        <v>12400</v>
      </c>
      <c r="U434" s="2509"/>
      <c r="V434" s="2509"/>
      <c r="W434" s="2523">
        <f t="shared" si="44"/>
        <v>29640</v>
      </c>
      <c r="X434" s="2538">
        <v>24700</v>
      </c>
      <c r="Y434" s="2509"/>
      <c r="Z434" s="2509"/>
    </row>
    <row r="435" spans="1:26" s="19" customFormat="1" ht="18.75">
      <c r="A435" s="11"/>
      <c r="B435" s="83" t="s">
        <v>622</v>
      </c>
      <c r="C435" s="126" t="s">
        <v>705</v>
      </c>
      <c r="D435" s="3"/>
      <c r="E435" s="3"/>
      <c r="F435" s="10"/>
      <c r="G435" s="10"/>
      <c r="H435" s="10"/>
      <c r="I435" s="41" t="s">
        <v>573</v>
      </c>
      <c r="J435" s="1141">
        <f>J434</f>
        <v>29600</v>
      </c>
      <c r="K435" s="1395">
        <f>'[1]диагн.'!$G$630</f>
        <v>0.30000000000000004</v>
      </c>
      <c r="L435" s="1324">
        <f t="shared" si="51"/>
        <v>29600.3</v>
      </c>
      <c r="M435" s="1462">
        <f>M434</f>
        <v>2.96</v>
      </c>
      <c r="N435" s="1475">
        <f>N434</f>
        <v>0.30000000000000004</v>
      </c>
      <c r="O435" s="1440">
        <f>SUM(M435:N435)</f>
        <v>3.26</v>
      </c>
      <c r="P435" s="22"/>
      <c r="Q435" s="6"/>
      <c r="R435" s="2514">
        <f t="shared" si="52"/>
        <v>7934.999999999999</v>
      </c>
      <c r="S435" s="2509"/>
      <c r="T435" s="2517">
        <v>6900</v>
      </c>
      <c r="U435" s="2509"/>
      <c r="V435" s="2509"/>
      <c r="W435" s="2523">
        <f t="shared" si="44"/>
        <v>29640</v>
      </c>
      <c r="X435" s="2538">
        <f>X434</f>
        <v>24700</v>
      </c>
      <c r="Y435" s="2509"/>
      <c r="Z435" s="2509"/>
    </row>
    <row r="436" spans="1:26" s="19" customFormat="1" ht="18.75">
      <c r="A436" s="11">
        <v>2</v>
      </c>
      <c r="B436" s="67"/>
      <c r="C436" s="1546" t="s">
        <v>706</v>
      </c>
      <c r="D436" s="3"/>
      <c r="E436" s="3"/>
      <c r="F436" s="10"/>
      <c r="G436" s="10"/>
      <c r="H436" s="10"/>
      <c r="I436" s="41"/>
      <c r="J436" s="1141"/>
      <c r="K436" s="1385"/>
      <c r="L436" s="1324"/>
      <c r="M436" s="1462"/>
      <c r="N436" s="1476"/>
      <c r="O436" s="1440"/>
      <c r="P436" s="22"/>
      <c r="Q436" s="6"/>
      <c r="R436" s="2514"/>
      <c r="S436" s="2509"/>
      <c r="T436" s="2517"/>
      <c r="U436" s="2509"/>
      <c r="V436" s="2509"/>
      <c r="W436" s="2523">
        <f t="shared" si="44"/>
        <v>0</v>
      </c>
      <c r="X436" s="2538"/>
      <c r="Y436" s="2509"/>
      <c r="Z436" s="2509"/>
    </row>
    <row r="437" spans="1:26" s="19" customFormat="1" ht="18.75">
      <c r="A437" s="11"/>
      <c r="B437" s="83" t="s">
        <v>622</v>
      </c>
      <c r="C437" s="126" t="s">
        <v>704</v>
      </c>
      <c r="D437" s="3"/>
      <c r="E437" s="3"/>
      <c r="F437" s="10"/>
      <c r="G437" s="10"/>
      <c r="H437" s="10"/>
      <c r="I437" s="41" t="s">
        <v>573</v>
      </c>
      <c r="J437" s="1141">
        <v>49300</v>
      </c>
      <c r="K437" s="1395">
        <f>'[1]диагн.'!$G$636</f>
        <v>0.44000000000000006</v>
      </c>
      <c r="L437" s="1324">
        <f t="shared" si="51"/>
        <v>49300.44</v>
      </c>
      <c r="M437" s="1462">
        <f>J437/10000</f>
        <v>4.93</v>
      </c>
      <c r="N437" s="1463">
        <f>K437</f>
        <v>0.44000000000000006</v>
      </c>
      <c r="O437" s="1440">
        <f>SUM(M437:N437)</f>
        <v>5.37</v>
      </c>
      <c r="P437" s="22"/>
      <c r="Q437" s="6"/>
      <c r="R437" s="2514">
        <f t="shared" si="52"/>
        <v>23804.999999999996</v>
      </c>
      <c r="S437" s="2509"/>
      <c r="T437" s="2517">
        <v>20700</v>
      </c>
      <c r="U437" s="2509"/>
      <c r="V437" s="2509"/>
      <c r="W437" s="2523">
        <f t="shared" si="44"/>
        <v>49320</v>
      </c>
      <c r="X437" s="2538">
        <v>41100</v>
      </c>
      <c r="Y437" s="2509"/>
      <c r="Z437" s="2509"/>
    </row>
    <row r="438" spans="1:26" s="19" customFormat="1" ht="18.75">
      <c r="A438" s="11"/>
      <c r="B438" s="83" t="s">
        <v>622</v>
      </c>
      <c r="C438" s="126" t="s">
        <v>705</v>
      </c>
      <c r="D438" s="3"/>
      <c r="E438" s="3"/>
      <c r="F438" s="10"/>
      <c r="G438" s="10"/>
      <c r="H438" s="10"/>
      <c r="I438" s="41" t="s">
        <v>573</v>
      </c>
      <c r="J438" s="1141">
        <f>J437</f>
        <v>49300</v>
      </c>
      <c r="K438" s="1395">
        <f>'[1]диагн.'!$G$636</f>
        <v>0.44000000000000006</v>
      </c>
      <c r="L438" s="1324">
        <f t="shared" si="51"/>
        <v>49300.44</v>
      </c>
      <c r="M438" s="1462">
        <f>M437</f>
        <v>4.93</v>
      </c>
      <c r="N438" s="1475">
        <f>N437</f>
        <v>0.44000000000000006</v>
      </c>
      <c r="O438" s="1440">
        <f>SUM(M438:N438)</f>
        <v>5.37</v>
      </c>
      <c r="P438" s="22"/>
      <c r="Q438" s="6"/>
      <c r="R438" s="2514">
        <f t="shared" si="52"/>
        <v>13224.999999999998</v>
      </c>
      <c r="S438" s="2509"/>
      <c r="T438" s="2517">
        <v>11500</v>
      </c>
      <c r="U438" s="2509"/>
      <c r="V438" s="2509"/>
      <c r="W438" s="2523">
        <f t="shared" si="44"/>
        <v>49320</v>
      </c>
      <c r="X438" s="2538">
        <f>X437</f>
        <v>41100</v>
      </c>
      <c r="Y438" s="2509"/>
      <c r="Z438" s="2509"/>
    </row>
    <row r="439" spans="1:26" s="19" customFormat="1" ht="18.75">
      <c r="A439" s="11">
        <v>3</v>
      </c>
      <c r="B439" s="67"/>
      <c r="C439" s="1546" t="s">
        <v>707</v>
      </c>
      <c r="D439" s="3"/>
      <c r="E439" s="3"/>
      <c r="F439" s="10"/>
      <c r="G439" s="10"/>
      <c r="H439" s="10"/>
      <c r="I439" s="41"/>
      <c r="J439" s="1141"/>
      <c r="K439" s="1385"/>
      <c r="L439" s="1324"/>
      <c r="M439" s="1462"/>
      <c r="N439" s="1476"/>
      <c r="O439" s="1440"/>
      <c r="P439" s="22"/>
      <c r="Q439" s="6"/>
      <c r="R439" s="2514"/>
      <c r="S439" s="2509"/>
      <c r="T439" s="2517"/>
      <c r="U439" s="2509"/>
      <c r="V439" s="2509"/>
      <c r="W439" s="2523">
        <f aca="true" t="shared" si="53" ref="W439:W502">X439*1.2</f>
        <v>0</v>
      </c>
      <c r="X439" s="2538"/>
      <c r="Y439" s="2509"/>
      <c r="Z439" s="2509"/>
    </row>
    <row r="440" spans="1:26" s="19" customFormat="1" ht="18.75">
      <c r="A440" s="11"/>
      <c r="B440" s="83" t="s">
        <v>622</v>
      </c>
      <c r="C440" s="126" t="s">
        <v>704</v>
      </c>
      <c r="D440" s="3"/>
      <c r="E440" s="3"/>
      <c r="F440" s="10"/>
      <c r="G440" s="10"/>
      <c r="H440" s="10"/>
      <c r="I440" s="41" t="s">
        <v>573</v>
      </c>
      <c r="J440" s="1141">
        <v>29600</v>
      </c>
      <c r="K440" s="1395">
        <f>'[1]диагн.'!$G$642</f>
        <v>0.30000000000000004</v>
      </c>
      <c r="L440" s="1324">
        <f t="shared" si="51"/>
        <v>29600.3</v>
      </c>
      <c r="M440" s="1462">
        <f>J440/10000</f>
        <v>2.96</v>
      </c>
      <c r="N440" s="1463">
        <f>K440</f>
        <v>0.30000000000000004</v>
      </c>
      <c r="O440" s="1440">
        <f>SUM(M440:N440)</f>
        <v>3.26</v>
      </c>
      <c r="P440" s="22"/>
      <c r="Q440" s="6"/>
      <c r="R440" s="2514">
        <f t="shared" si="52"/>
        <v>14259.999999999998</v>
      </c>
      <c r="S440" s="2509"/>
      <c r="T440" s="2517">
        <v>12400</v>
      </c>
      <c r="U440" s="2509"/>
      <c r="V440" s="2509"/>
      <c r="W440" s="2523">
        <f t="shared" si="53"/>
        <v>29640</v>
      </c>
      <c r="X440" s="2538">
        <v>24700</v>
      </c>
      <c r="Y440" s="2509"/>
      <c r="Z440" s="2509"/>
    </row>
    <row r="441" spans="1:26" s="19" customFormat="1" ht="18.75">
      <c r="A441" s="11"/>
      <c r="B441" s="83" t="s">
        <v>622</v>
      </c>
      <c r="C441" s="126" t="s">
        <v>705</v>
      </c>
      <c r="D441" s="3"/>
      <c r="E441" s="3"/>
      <c r="F441" s="10"/>
      <c r="G441" s="10"/>
      <c r="H441" s="10"/>
      <c r="I441" s="41" t="s">
        <v>573</v>
      </c>
      <c r="J441" s="1141">
        <f>J440</f>
        <v>29600</v>
      </c>
      <c r="K441" s="1395">
        <f>'[1]диагн.'!$G$642</f>
        <v>0.30000000000000004</v>
      </c>
      <c r="L441" s="1324">
        <f t="shared" si="51"/>
        <v>29600.3</v>
      </c>
      <c r="M441" s="1462">
        <f>M440</f>
        <v>2.96</v>
      </c>
      <c r="N441" s="1475">
        <f>N440</f>
        <v>0.30000000000000004</v>
      </c>
      <c r="O441" s="1440">
        <f>SUM(M441:N441)</f>
        <v>3.26</v>
      </c>
      <c r="P441" s="22"/>
      <c r="Q441" s="6"/>
      <c r="R441" s="2514">
        <f t="shared" si="52"/>
        <v>7934.999999999999</v>
      </c>
      <c r="S441" s="2509"/>
      <c r="T441" s="2517">
        <v>6900</v>
      </c>
      <c r="U441" s="2509"/>
      <c r="V441" s="2509"/>
      <c r="W441" s="2523">
        <f t="shared" si="53"/>
        <v>29640</v>
      </c>
      <c r="X441" s="2538">
        <f>X440</f>
        <v>24700</v>
      </c>
      <c r="Y441" s="2509"/>
      <c r="Z441" s="2509"/>
    </row>
    <row r="442" spans="1:26" s="19" customFormat="1" ht="18.75">
      <c r="A442" s="11">
        <v>4</v>
      </c>
      <c r="B442" s="67"/>
      <c r="C442" s="1546" t="s">
        <v>708</v>
      </c>
      <c r="D442" s="3"/>
      <c r="E442" s="3"/>
      <c r="F442" s="10"/>
      <c r="G442" s="10"/>
      <c r="H442" s="10"/>
      <c r="I442" s="41"/>
      <c r="J442" s="1141"/>
      <c r="K442" s="1385"/>
      <c r="L442" s="1324"/>
      <c r="M442" s="1462"/>
      <c r="N442" s="1476"/>
      <c r="O442" s="1440"/>
      <c r="P442" s="22"/>
      <c r="Q442" s="6"/>
      <c r="R442" s="2514"/>
      <c r="S442" s="2509"/>
      <c r="T442" s="2517"/>
      <c r="U442" s="2509"/>
      <c r="V442" s="2509"/>
      <c r="W442" s="2523">
        <f t="shared" si="53"/>
        <v>0</v>
      </c>
      <c r="X442" s="2538"/>
      <c r="Y442" s="2509"/>
      <c r="Z442" s="2509"/>
    </row>
    <row r="443" spans="1:26" s="19" customFormat="1" ht="18.75">
      <c r="A443" s="11"/>
      <c r="B443" s="83" t="s">
        <v>622</v>
      </c>
      <c r="C443" s="126" t="s">
        <v>704</v>
      </c>
      <c r="D443" s="3"/>
      <c r="E443" s="3"/>
      <c r="F443" s="10"/>
      <c r="G443" s="10"/>
      <c r="H443" s="10"/>
      <c r="I443" s="41" t="s">
        <v>573</v>
      </c>
      <c r="J443" s="1141">
        <v>19700</v>
      </c>
      <c r="K443" s="1395">
        <f>'[1]диагн.'!$G$648</f>
        <v>0.30000000000000004</v>
      </c>
      <c r="L443" s="1324">
        <f t="shared" si="51"/>
        <v>19700.3</v>
      </c>
      <c r="M443" s="1462">
        <f>J443/10000</f>
        <v>1.97</v>
      </c>
      <c r="N443" s="1463">
        <f>K443</f>
        <v>0.30000000000000004</v>
      </c>
      <c r="O443" s="1440">
        <f>SUM(M443:N443)</f>
        <v>2.27</v>
      </c>
      <c r="P443" s="22"/>
      <c r="Q443" s="6"/>
      <c r="R443" s="2514">
        <f t="shared" si="52"/>
        <v>9487.5</v>
      </c>
      <c r="S443" s="2509"/>
      <c r="T443" s="2517">
        <v>8250</v>
      </c>
      <c r="U443" s="2509"/>
      <c r="V443" s="2509"/>
      <c r="W443" s="2523">
        <f t="shared" si="53"/>
        <v>19680</v>
      </c>
      <c r="X443" s="2538">
        <v>16400</v>
      </c>
      <c r="Y443" s="2509"/>
      <c r="Z443" s="2509"/>
    </row>
    <row r="444" spans="1:26" s="19" customFormat="1" ht="18.75">
      <c r="A444" s="11"/>
      <c r="B444" s="83" t="s">
        <v>622</v>
      </c>
      <c r="C444" s="126" t="s">
        <v>705</v>
      </c>
      <c r="D444" s="3"/>
      <c r="E444" s="3"/>
      <c r="F444" s="10"/>
      <c r="G444" s="10"/>
      <c r="H444" s="10"/>
      <c r="I444" s="41" t="s">
        <v>573</v>
      </c>
      <c r="J444" s="1141">
        <f>J443</f>
        <v>19700</v>
      </c>
      <c r="K444" s="1395">
        <f>'[1]диагн.'!$G$648</f>
        <v>0.30000000000000004</v>
      </c>
      <c r="L444" s="1324">
        <f t="shared" si="51"/>
        <v>19700.3</v>
      </c>
      <c r="M444" s="1462">
        <f>M443</f>
        <v>1.97</v>
      </c>
      <c r="N444" s="1475">
        <f>N443</f>
        <v>0.30000000000000004</v>
      </c>
      <c r="O444" s="1440">
        <f>SUM(M444:N444)</f>
        <v>2.27</v>
      </c>
      <c r="P444" s="22"/>
      <c r="Q444" s="6"/>
      <c r="R444" s="2514">
        <f t="shared" si="52"/>
        <v>5290</v>
      </c>
      <c r="S444" s="2509"/>
      <c r="T444" s="2517">
        <v>4600</v>
      </c>
      <c r="U444" s="2509"/>
      <c r="V444" s="2509"/>
      <c r="W444" s="2523">
        <f t="shared" si="53"/>
        <v>19680</v>
      </c>
      <c r="X444" s="2538">
        <f>X443</f>
        <v>16400</v>
      </c>
      <c r="Y444" s="2509"/>
      <c r="Z444" s="2509"/>
    </row>
    <row r="445" spans="1:26" s="19" customFormat="1" ht="18.75">
      <c r="A445" s="11"/>
      <c r="B445" s="67"/>
      <c r="C445" s="1545" t="s">
        <v>709</v>
      </c>
      <c r="D445" s="3"/>
      <c r="E445" s="3"/>
      <c r="F445" s="2"/>
      <c r="G445" s="2"/>
      <c r="H445" s="2"/>
      <c r="I445" s="41"/>
      <c r="J445" s="1141"/>
      <c r="K445" s="1385"/>
      <c r="L445" s="1324"/>
      <c r="M445" s="1462"/>
      <c r="N445" s="1476"/>
      <c r="O445" s="1440"/>
      <c r="P445" s="22"/>
      <c r="Q445" s="6"/>
      <c r="R445" s="2514"/>
      <c r="S445" s="2509"/>
      <c r="T445" s="2517"/>
      <c r="U445" s="2509"/>
      <c r="V445" s="2509"/>
      <c r="W445" s="2523">
        <f t="shared" si="53"/>
        <v>0</v>
      </c>
      <c r="X445" s="2538"/>
      <c r="Y445" s="2509"/>
      <c r="Z445" s="2509"/>
    </row>
    <row r="446" spans="1:26" s="19" customFormat="1" ht="18.75">
      <c r="A446" s="11">
        <v>5</v>
      </c>
      <c r="B446" s="67"/>
      <c r="C446" s="1546" t="s">
        <v>710</v>
      </c>
      <c r="D446" s="3"/>
      <c r="E446" s="3"/>
      <c r="F446" s="10"/>
      <c r="G446" s="10"/>
      <c r="H446" s="10"/>
      <c r="I446" s="41"/>
      <c r="J446" s="1141"/>
      <c r="K446" s="1385"/>
      <c r="L446" s="1324"/>
      <c r="M446" s="1462"/>
      <c r="N446" s="1476"/>
      <c r="O446" s="1440"/>
      <c r="P446" s="22"/>
      <c r="Q446" s="6"/>
      <c r="R446" s="2509"/>
      <c r="S446" s="2509"/>
      <c r="T446" s="2517"/>
      <c r="U446" s="2509"/>
      <c r="V446" s="2509"/>
      <c r="W446" s="2523">
        <f t="shared" si="53"/>
        <v>0</v>
      </c>
      <c r="X446" s="2538"/>
      <c r="Y446" s="2509"/>
      <c r="Z446" s="2509"/>
    </row>
    <row r="447" spans="1:26" s="19" customFormat="1" ht="18.75">
      <c r="A447" s="11"/>
      <c r="B447" s="83" t="s">
        <v>622</v>
      </c>
      <c r="C447" s="126" t="s">
        <v>704</v>
      </c>
      <c r="D447" s="3"/>
      <c r="E447" s="3"/>
      <c r="F447" s="10"/>
      <c r="G447" s="10"/>
      <c r="H447" s="10"/>
      <c r="I447" s="41" t="s">
        <v>573</v>
      </c>
      <c r="J447" s="1141">
        <v>39500</v>
      </c>
      <c r="K447" s="1395">
        <f>'[1]диагн.'!$G$655</f>
        <v>0.30000000000000004</v>
      </c>
      <c r="L447" s="1324">
        <f t="shared" si="51"/>
        <v>39500.3</v>
      </c>
      <c r="M447" s="1462">
        <f>J447/10000</f>
        <v>3.95</v>
      </c>
      <c r="N447" s="1463">
        <f>K447</f>
        <v>0.30000000000000004</v>
      </c>
      <c r="O447" s="1440">
        <f>SUM(M447:N447)</f>
        <v>4.25</v>
      </c>
      <c r="P447" s="22"/>
      <c r="Q447" s="6"/>
      <c r="R447" s="2514">
        <f aca="true" t="shared" si="54" ref="R447:R457">T447*1.15</f>
        <v>19032.5</v>
      </c>
      <c r="S447" s="2509"/>
      <c r="T447" s="2517">
        <v>16550</v>
      </c>
      <c r="U447" s="2509"/>
      <c r="V447" s="2509"/>
      <c r="W447" s="2523">
        <f t="shared" si="53"/>
        <v>39480</v>
      </c>
      <c r="X447" s="2538">
        <v>32900</v>
      </c>
      <c r="Y447" s="2509"/>
      <c r="Z447" s="2509"/>
    </row>
    <row r="448" spans="1:26" s="19" customFormat="1" ht="18.75">
      <c r="A448" s="11"/>
      <c r="B448" s="83" t="s">
        <v>622</v>
      </c>
      <c r="C448" s="126" t="s">
        <v>705</v>
      </c>
      <c r="D448" s="3"/>
      <c r="E448" s="3"/>
      <c r="F448" s="10"/>
      <c r="G448" s="10"/>
      <c r="H448" s="10"/>
      <c r="I448" s="41" t="s">
        <v>573</v>
      </c>
      <c r="J448" s="1141">
        <f>J447</f>
        <v>39500</v>
      </c>
      <c r="K448" s="1395">
        <f>'[1]диагн.'!$G$655</f>
        <v>0.30000000000000004</v>
      </c>
      <c r="L448" s="1324">
        <f t="shared" si="51"/>
        <v>39500.3</v>
      </c>
      <c r="M448" s="1462">
        <f>M447</f>
        <v>3.95</v>
      </c>
      <c r="N448" s="1475">
        <f>N447</f>
        <v>0.30000000000000004</v>
      </c>
      <c r="O448" s="1440">
        <f>SUM(M448:N448)</f>
        <v>4.25</v>
      </c>
      <c r="P448" s="22"/>
      <c r="Q448" s="6"/>
      <c r="R448" s="2514">
        <f t="shared" si="54"/>
        <v>10580</v>
      </c>
      <c r="S448" s="2509"/>
      <c r="T448" s="2517">
        <v>9200</v>
      </c>
      <c r="U448" s="2509"/>
      <c r="V448" s="2509"/>
      <c r="W448" s="2523">
        <f t="shared" si="53"/>
        <v>39480</v>
      </c>
      <c r="X448" s="2538">
        <f>X447</f>
        <v>32900</v>
      </c>
      <c r="Y448" s="2509"/>
      <c r="Z448" s="2509"/>
    </row>
    <row r="449" spans="1:26" s="19" customFormat="1" ht="18.75">
      <c r="A449" s="11">
        <v>6</v>
      </c>
      <c r="B449" s="67"/>
      <c r="C449" s="1546" t="s">
        <v>723</v>
      </c>
      <c r="D449" s="3"/>
      <c r="E449" s="3"/>
      <c r="F449" s="10"/>
      <c r="G449" s="10"/>
      <c r="H449" s="10"/>
      <c r="I449" s="41"/>
      <c r="J449" s="1141"/>
      <c r="K449" s="1385"/>
      <c r="L449" s="1324"/>
      <c r="M449" s="1462"/>
      <c r="N449" s="1476"/>
      <c r="O449" s="1440"/>
      <c r="P449" s="22"/>
      <c r="Q449" s="6"/>
      <c r="R449" s="2514"/>
      <c r="S449" s="2509"/>
      <c r="T449" s="2517"/>
      <c r="U449" s="2509"/>
      <c r="V449" s="2509"/>
      <c r="W449" s="2523">
        <f t="shared" si="53"/>
        <v>0</v>
      </c>
      <c r="X449" s="2538"/>
      <c r="Y449" s="2509"/>
      <c r="Z449" s="2509"/>
    </row>
    <row r="450" spans="1:26" s="19" customFormat="1" ht="18.75">
      <c r="A450" s="11"/>
      <c r="B450" s="83" t="s">
        <v>622</v>
      </c>
      <c r="C450" s="126" t="s">
        <v>704</v>
      </c>
      <c r="D450" s="3"/>
      <c r="E450" s="3"/>
      <c r="F450" s="10"/>
      <c r="G450" s="10"/>
      <c r="H450" s="10"/>
      <c r="I450" s="41" t="s">
        <v>573</v>
      </c>
      <c r="J450" s="1141">
        <v>19700</v>
      </c>
      <c r="K450" s="1395">
        <f>'[1]диагн.'!$G$661</f>
        <v>0.30000000000000004</v>
      </c>
      <c r="L450" s="1324">
        <f t="shared" si="51"/>
        <v>19700.3</v>
      </c>
      <c r="M450" s="1462">
        <f>J450/10000</f>
        <v>1.97</v>
      </c>
      <c r="N450" s="1463">
        <f>K450</f>
        <v>0.30000000000000004</v>
      </c>
      <c r="O450" s="1440">
        <f>SUM(M450:N450)</f>
        <v>2.27</v>
      </c>
      <c r="P450" s="22"/>
      <c r="Q450" s="6"/>
      <c r="R450" s="2514">
        <f t="shared" si="54"/>
        <v>9487.5</v>
      </c>
      <c r="S450" s="2509"/>
      <c r="T450" s="2517">
        <v>8250</v>
      </c>
      <c r="U450" s="2509"/>
      <c r="V450" s="2509"/>
      <c r="W450" s="2523">
        <f t="shared" si="53"/>
        <v>19680</v>
      </c>
      <c r="X450" s="2538">
        <v>16400</v>
      </c>
      <c r="Y450" s="2509"/>
      <c r="Z450" s="2509"/>
    </row>
    <row r="451" spans="1:26" s="19" customFormat="1" ht="18.75">
      <c r="A451" s="11"/>
      <c r="B451" s="83" t="s">
        <v>622</v>
      </c>
      <c r="C451" s="126" t="s">
        <v>705</v>
      </c>
      <c r="D451" s="3"/>
      <c r="E451" s="3"/>
      <c r="F451" s="10"/>
      <c r="G451" s="10"/>
      <c r="H451" s="10"/>
      <c r="I451" s="41" t="s">
        <v>573</v>
      </c>
      <c r="J451" s="1141">
        <f>J450</f>
        <v>19700</v>
      </c>
      <c r="K451" s="1395">
        <f>'[1]диагн.'!$G$661</f>
        <v>0.30000000000000004</v>
      </c>
      <c r="L451" s="1324">
        <f t="shared" si="51"/>
        <v>19700.3</v>
      </c>
      <c r="M451" s="1462">
        <f>M450</f>
        <v>1.97</v>
      </c>
      <c r="N451" s="1475">
        <f>N450</f>
        <v>0.30000000000000004</v>
      </c>
      <c r="O451" s="1440">
        <f>SUM(M451:N451)</f>
        <v>2.27</v>
      </c>
      <c r="P451" s="22"/>
      <c r="Q451" s="6"/>
      <c r="R451" s="2514">
        <f t="shared" si="54"/>
        <v>5290</v>
      </c>
      <c r="S451" s="2509"/>
      <c r="T451" s="2517">
        <v>4600</v>
      </c>
      <c r="U451" s="2509"/>
      <c r="V451" s="2509"/>
      <c r="W451" s="2523">
        <f t="shared" si="53"/>
        <v>19680</v>
      </c>
      <c r="X451" s="2538">
        <f>X450</f>
        <v>16400</v>
      </c>
      <c r="Y451" s="2509"/>
      <c r="Z451" s="2509"/>
    </row>
    <row r="452" spans="1:26" s="19" customFormat="1" ht="18.75">
      <c r="A452" s="11">
        <v>7</v>
      </c>
      <c r="B452" s="67"/>
      <c r="C452" s="1546" t="s">
        <v>725</v>
      </c>
      <c r="D452" s="3"/>
      <c r="E452" s="3"/>
      <c r="F452" s="10"/>
      <c r="G452" s="10"/>
      <c r="H452" s="10"/>
      <c r="I452" s="41"/>
      <c r="J452" s="1141"/>
      <c r="K452" s="1385"/>
      <c r="L452" s="1324"/>
      <c r="M452" s="1462"/>
      <c r="N452" s="1476"/>
      <c r="O452" s="1440"/>
      <c r="P452" s="22"/>
      <c r="Q452" s="6"/>
      <c r="R452" s="2514"/>
      <c r="S452" s="2509"/>
      <c r="T452" s="2517"/>
      <c r="U452" s="2509"/>
      <c r="V452" s="2509"/>
      <c r="W452" s="2523">
        <f t="shared" si="53"/>
        <v>0</v>
      </c>
      <c r="X452" s="2538"/>
      <c r="Y452" s="2509"/>
      <c r="Z452" s="2509"/>
    </row>
    <row r="453" spans="1:26" s="19" customFormat="1" ht="18.75">
      <c r="A453" s="11"/>
      <c r="B453" s="83" t="s">
        <v>622</v>
      </c>
      <c r="C453" s="126" t="s">
        <v>704</v>
      </c>
      <c r="D453" s="3"/>
      <c r="E453" s="3"/>
      <c r="F453" s="10"/>
      <c r="G453" s="10"/>
      <c r="H453" s="10"/>
      <c r="I453" s="41" t="s">
        <v>573</v>
      </c>
      <c r="J453" s="1141">
        <v>29600</v>
      </c>
      <c r="K453" s="1395">
        <f>'[1]диагн.'!$G$667</f>
        <v>0.44000000000000006</v>
      </c>
      <c r="L453" s="1324">
        <f t="shared" si="51"/>
        <v>29600.44</v>
      </c>
      <c r="M453" s="1462">
        <f>J453/10000</f>
        <v>2.96</v>
      </c>
      <c r="N453" s="1463">
        <f>K453</f>
        <v>0.44000000000000006</v>
      </c>
      <c r="O453" s="1440">
        <f>SUM(M453:N453)</f>
        <v>3.4</v>
      </c>
      <c r="P453" s="22"/>
      <c r="Q453" s="6"/>
      <c r="R453" s="2514">
        <f t="shared" si="54"/>
        <v>14259.999999999998</v>
      </c>
      <c r="S453" s="2509"/>
      <c r="T453" s="2517">
        <v>12400</v>
      </c>
      <c r="U453" s="2509"/>
      <c r="V453" s="2509"/>
      <c r="W453" s="2523">
        <f t="shared" si="53"/>
        <v>29640</v>
      </c>
      <c r="X453" s="2538">
        <v>24700</v>
      </c>
      <c r="Y453" s="2509"/>
      <c r="Z453" s="2509"/>
    </row>
    <row r="454" spans="1:26" s="19" customFormat="1" ht="18.75">
      <c r="A454" s="11"/>
      <c r="B454" s="83" t="s">
        <v>622</v>
      </c>
      <c r="C454" s="126" t="s">
        <v>705</v>
      </c>
      <c r="D454" s="3"/>
      <c r="E454" s="3"/>
      <c r="F454" s="10"/>
      <c r="G454" s="10"/>
      <c r="H454" s="10"/>
      <c r="I454" s="41" t="s">
        <v>573</v>
      </c>
      <c r="J454" s="1141">
        <f>J453</f>
        <v>29600</v>
      </c>
      <c r="K454" s="1395">
        <f>'[1]диагн.'!$G$667</f>
        <v>0.44000000000000006</v>
      </c>
      <c r="L454" s="1324">
        <f t="shared" si="51"/>
        <v>29600.44</v>
      </c>
      <c r="M454" s="1462">
        <f>M453</f>
        <v>2.96</v>
      </c>
      <c r="N454" s="1475">
        <f>N453</f>
        <v>0.44000000000000006</v>
      </c>
      <c r="O454" s="1440">
        <f>SUM(M454:N454)</f>
        <v>3.4</v>
      </c>
      <c r="P454" s="22"/>
      <c r="Q454" s="6"/>
      <c r="R454" s="2514">
        <f t="shared" si="54"/>
        <v>7934.999999999999</v>
      </c>
      <c r="S454" s="2509"/>
      <c r="T454" s="2517">
        <v>6900</v>
      </c>
      <c r="U454" s="2509"/>
      <c r="V454" s="2509"/>
      <c r="W454" s="2523">
        <f t="shared" si="53"/>
        <v>29640</v>
      </c>
      <c r="X454" s="2538">
        <f>X453</f>
        <v>24700</v>
      </c>
      <c r="Y454" s="2509"/>
      <c r="Z454" s="2509"/>
    </row>
    <row r="455" spans="1:26" s="19" customFormat="1" ht="18.75">
      <c r="A455" s="11">
        <v>8</v>
      </c>
      <c r="B455" s="67"/>
      <c r="C455" s="1546" t="s">
        <v>726</v>
      </c>
      <c r="D455" s="3"/>
      <c r="E455" s="3"/>
      <c r="F455" s="10"/>
      <c r="G455" s="10"/>
      <c r="H455" s="10"/>
      <c r="I455" s="41"/>
      <c r="J455" s="1141"/>
      <c r="K455" s="1385"/>
      <c r="L455" s="1324"/>
      <c r="M455" s="1462"/>
      <c r="N455" s="1476"/>
      <c r="O455" s="1440"/>
      <c r="P455" s="22"/>
      <c r="Q455" s="6"/>
      <c r="R455" s="2514"/>
      <c r="S455" s="2509"/>
      <c r="T455" s="2517"/>
      <c r="U455" s="2509"/>
      <c r="V455" s="2509"/>
      <c r="W455" s="2523">
        <f t="shared" si="53"/>
        <v>0</v>
      </c>
      <c r="X455" s="2538"/>
      <c r="Y455" s="2509"/>
      <c r="Z455" s="2509"/>
    </row>
    <row r="456" spans="1:26" s="19" customFormat="1" ht="18.75">
      <c r="A456" s="11"/>
      <c r="B456" s="83" t="s">
        <v>622</v>
      </c>
      <c r="C456" s="126" t="s">
        <v>704</v>
      </c>
      <c r="D456" s="3"/>
      <c r="E456" s="3"/>
      <c r="F456" s="10"/>
      <c r="G456" s="10"/>
      <c r="H456" s="10"/>
      <c r="I456" s="41" t="s">
        <v>573</v>
      </c>
      <c r="J456" s="1141">
        <v>49300</v>
      </c>
      <c r="K456" s="1395">
        <f>'[1]диагн.'!$G$673</f>
        <v>0.44000000000000006</v>
      </c>
      <c r="L456" s="1324">
        <f t="shared" si="51"/>
        <v>49300.44</v>
      </c>
      <c r="M456" s="1462">
        <f>J456/10000</f>
        <v>4.93</v>
      </c>
      <c r="N456" s="1463">
        <f>K456</f>
        <v>0.44000000000000006</v>
      </c>
      <c r="O456" s="1440">
        <f>SUM(M456:N456)</f>
        <v>5.37</v>
      </c>
      <c r="P456" s="22"/>
      <c r="Q456" s="6"/>
      <c r="R456" s="2514">
        <f t="shared" si="54"/>
        <v>23804.999999999996</v>
      </c>
      <c r="S456" s="2509"/>
      <c r="T456" s="2517">
        <v>20700</v>
      </c>
      <c r="U456" s="2509"/>
      <c r="V456" s="2509"/>
      <c r="W456" s="2523">
        <f t="shared" si="53"/>
        <v>49320</v>
      </c>
      <c r="X456" s="2538">
        <v>41100</v>
      </c>
      <c r="Y456" s="2509"/>
      <c r="Z456" s="2509"/>
    </row>
    <row r="457" spans="1:26" s="19" customFormat="1" ht="18.75">
      <c r="A457" s="11"/>
      <c r="B457" s="83" t="s">
        <v>622</v>
      </c>
      <c r="C457" s="126" t="s">
        <v>705</v>
      </c>
      <c r="D457" s="3"/>
      <c r="E457" s="3"/>
      <c r="F457" s="10"/>
      <c r="G457" s="10"/>
      <c r="H457" s="10"/>
      <c r="I457" s="41" t="s">
        <v>573</v>
      </c>
      <c r="J457" s="1141">
        <f>J456</f>
        <v>49300</v>
      </c>
      <c r="K457" s="1395">
        <f>'[1]диагн.'!$G$673</f>
        <v>0.44000000000000006</v>
      </c>
      <c r="L457" s="1324">
        <f t="shared" si="51"/>
        <v>49300.44</v>
      </c>
      <c r="M457" s="1462">
        <f>M456</f>
        <v>4.93</v>
      </c>
      <c r="N457" s="1475">
        <f>N456</f>
        <v>0.44000000000000006</v>
      </c>
      <c r="O457" s="1440">
        <f>SUM(M457:N457)</f>
        <v>5.37</v>
      </c>
      <c r="P457" s="22"/>
      <c r="Q457" s="6"/>
      <c r="R457" s="2514">
        <f t="shared" si="54"/>
        <v>13224.999999999998</v>
      </c>
      <c r="S457" s="2509"/>
      <c r="T457" s="2517">
        <v>11500</v>
      </c>
      <c r="U457" s="2509"/>
      <c r="V457" s="2509"/>
      <c r="W457" s="2523">
        <f t="shared" si="53"/>
        <v>49320</v>
      </c>
      <c r="X457" s="2538">
        <f>X456</f>
        <v>41100</v>
      </c>
      <c r="Y457" s="2509"/>
      <c r="Z457" s="2509"/>
    </row>
    <row r="458" spans="1:26" s="19" customFormat="1" ht="18.75">
      <c r="A458" s="11">
        <v>9</v>
      </c>
      <c r="B458" s="67"/>
      <c r="C458" s="1546" t="s">
        <v>727</v>
      </c>
      <c r="D458" s="3"/>
      <c r="E458" s="3"/>
      <c r="F458" s="10"/>
      <c r="G458" s="10"/>
      <c r="H458" s="10"/>
      <c r="I458" s="41"/>
      <c r="J458" s="1141"/>
      <c r="K458" s="1385"/>
      <c r="L458" s="1324"/>
      <c r="M458" s="1462"/>
      <c r="N458" s="1476"/>
      <c r="O458" s="1440"/>
      <c r="P458" s="22"/>
      <c r="Q458" s="6"/>
      <c r="R458" s="2514"/>
      <c r="S458" s="2509"/>
      <c r="T458" s="2517"/>
      <c r="U458" s="2509"/>
      <c r="V458" s="2509"/>
      <c r="W458" s="2523">
        <f t="shared" si="53"/>
        <v>0</v>
      </c>
      <c r="X458" s="2538"/>
      <c r="Y458" s="2509"/>
      <c r="Z458" s="2509"/>
    </row>
    <row r="459" spans="1:26" s="19" customFormat="1" ht="18.75">
      <c r="A459" s="11"/>
      <c r="B459" s="67"/>
      <c r="C459" s="1546" t="s">
        <v>728</v>
      </c>
      <c r="D459" s="3"/>
      <c r="E459" s="3"/>
      <c r="F459" s="10"/>
      <c r="G459" s="10"/>
      <c r="H459" s="10"/>
      <c r="I459" s="41"/>
      <c r="J459" s="1141"/>
      <c r="K459" s="1385"/>
      <c r="L459" s="1324"/>
      <c r="M459" s="1462"/>
      <c r="N459" s="1476"/>
      <c r="O459" s="1440"/>
      <c r="P459" s="22"/>
      <c r="Q459" s="6"/>
      <c r="R459" s="2509"/>
      <c r="S459" s="2509"/>
      <c r="T459" s="2517"/>
      <c r="U459" s="2509"/>
      <c r="V459" s="2509"/>
      <c r="W459" s="2523">
        <f t="shared" si="53"/>
        <v>0</v>
      </c>
      <c r="X459" s="2538"/>
      <c r="Y459" s="2509"/>
      <c r="Z459" s="2509"/>
    </row>
    <row r="460" spans="1:26" s="19" customFormat="1" ht="18.75">
      <c r="A460" s="11"/>
      <c r="B460" s="83" t="s">
        <v>622</v>
      </c>
      <c r="C460" s="126" t="s">
        <v>704</v>
      </c>
      <c r="D460" s="3"/>
      <c r="E460" s="3"/>
      <c r="F460" s="10"/>
      <c r="G460" s="10"/>
      <c r="H460" s="10"/>
      <c r="I460" s="41" t="s">
        <v>573</v>
      </c>
      <c r="J460" s="1141">
        <v>59200</v>
      </c>
      <c r="K460" s="1395">
        <f>'[1]диагн.'!$G$679</f>
        <v>0.44000000000000006</v>
      </c>
      <c r="L460" s="1324">
        <f t="shared" si="51"/>
        <v>59200.44</v>
      </c>
      <c r="M460" s="1462">
        <f>J460/10000</f>
        <v>5.92</v>
      </c>
      <c r="N460" s="1463">
        <f>K460</f>
        <v>0.44000000000000006</v>
      </c>
      <c r="O460" s="1440">
        <f>SUM(M460:N460)</f>
        <v>6.36</v>
      </c>
      <c r="P460" s="22"/>
      <c r="Q460" s="6"/>
      <c r="R460" s="2514">
        <f>T460*1.15</f>
        <v>28519.999999999996</v>
      </c>
      <c r="S460" s="2509"/>
      <c r="T460" s="2517">
        <v>24800</v>
      </c>
      <c r="U460" s="2509"/>
      <c r="V460" s="2509"/>
      <c r="W460" s="2523">
        <f t="shared" si="53"/>
        <v>59160</v>
      </c>
      <c r="X460" s="2538">
        <v>49300</v>
      </c>
      <c r="Y460" s="2509"/>
      <c r="Z460" s="2509"/>
    </row>
    <row r="461" spans="1:26" s="19" customFormat="1" ht="18.75">
      <c r="A461" s="11"/>
      <c r="B461" s="83" t="s">
        <v>622</v>
      </c>
      <c r="C461" s="126" t="s">
        <v>705</v>
      </c>
      <c r="D461" s="3"/>
      <c r="E461" s="3"/>
      <c r="F461" s="10"/>
      <c r="G461" s="10"/>
      <c r="H461" s="10"/>
      <c r="I461" s="41" t="s">
        <v>573</v>
      </c>
      <c r="J461" s="1141">
        <f>J460</f>
        <v>59200</v>
      </c>
      <c r="K461" s="1395">
        <f>'[1]диагн.'!$G$679</f>
        <v>0.44000000000000006</v>
      </c>
      <c r="L461" s="1324">
        <f t="shared" si="51"/>
        <v>59200.44</v>
      </c>
      <c r="M461" s="1462">
        <f>M460</f>
        <v>5.92</v>
      </c>
      <c r="N461" s="1475">
        <f>N460</f>
        <v>0.44000000000000006</v>
      </c>
      <c r="O461" s="1440">
        <f>SUM(M461:N461)</f>
        <v>6.36</v>
      </c>
      <c r="P461" s="22"/>
      <c r="Q461" s="6"/>
      <c r="R461" s="2514">
        <f>T461*1.15</f>
        <v>15869.999999999998</v>
      </c>
      <c r="S461" s="2509"/>
      <c r="T461" s="2517">
        <v>13800</v>
      </c>
      <c r="U461" s="2509"/>
      <c r="V461" s="2509"/>
      <c r="W461" s="2523">
        <f t="shared" si="53"/>
        <v>59160</v>
      </c>
      <c r="X461" s="2538">
        <f>X460</f>
        <v>49300</v>
      </c>
      <c r="Y461" s="2509"/>
      <c r="Z461" s="2509"/>
    </row>
    <row r="462" spans="1:26" s="19" customFormat="1" ht="18.75">
      <c r="A462" s="11">
        <v>10</v>
      </c>
      <c r="B462" s="67"/>
      <c r="C462" s="1546" t="s">
        <v>729</v>
      </c>
      <c r="D462" s="3"/>
      <c r="E462" s="3"/>
      <c r="F462" s="10"/>
      <c r="G462" s="10"/>
      <c r="H462" s="10"/>
      <c r="I462" s="41"/>
      <c r="J462" s="1141"/>
      <c r="K462" s="1385"/>
      <c r="L462" s="1324"/>
      <c r="M462" s="1462"/>
      <c r="N462" s="1476"/>
      <c r="O462" s="1440"/>
      <c r="P462" s="22"/>
      <c r="Q462" s="6"/>
      <c r="R462" s="2514"/>
      <c r="S462" s="2509"/>
      <c r="T462" s="2517"/>
      <c r="U462" s="2509"/>
      <c r="V462" s="2509"/>
      <c r="W462" s="2523">
        <f t="shared" si="53"/>
        <v>0</v>
      </c>
      <c r="X462" s="2538"/>
      <c r="Y462" s="2509"/>
      <c r="Z462" s="2509"/>
    </row>
    <row r="463" spans="1:26" s="19" customFormat="1" ht="18.75">
      <c r="A463" s="11"/>
      <c r="B463" s="67"/>
      <c r="C463" s="1546" t="s">
        <v>730</v>
      </c>
      <c r="D463" s="3"/>
      <c r="E463" s="3"/>
      <c r="F463" s="10"/>
      <c r="G463" s="10"/>
      <c r="H463" s="10"/>
      <c r="I463" s="41"/>
      <c r="J463" s="1141"/>
      <c r="K463" s="1385"/>
      <c r="L463" s="1324"/>
      <c r="M463" s="1462"/>
      <c r="N463" s="1476"/>
      <c r="O463" s="1440"/>
      <c r="P463" s="22"/>
      <c r="Q463" s="6"/>
      <c r="R463" s="2509"/>
      <c r="S463" s="2509"/>
      <c r="T463" s="2517"/>
      <c r="U463" s="2509"/>
      <c r="V463" s="2509"/>
      <c r="W463" s="2523">
        <f t="shared" si="53"/>
        <v>0</v>
      </c>
      <c r="X463" s="2538"/>
      <c r="Y463" s="2509"/>
      <c r="Z463" s="2509"/>
    </row>
    <row r="464" spans="1:26" s="19" customFormat="1" ht="18.75">
      <c r="A464" s="11"/>
      <c r="B464" s="83" t="s">
        <v>622</v>
      </c>
      <c r="C464" s="126" t="s">
        <v>704</v>
      </c>
      <c r="D464" s="3"/>
      <c r="E464" s="3"/>
      <c r="F464" s="10"/>
      <c r="G464" s="10"/>
      <c r="H464" s="10"/>
      <c r="I464" s="41" t="s">
        <v>573</v>
      </c>
      <c r="J464" s="1141">
        <v>49300</v>
      </c>
      <c r="K464" s="1395">
        <f>'[1]диагн.'!$G$685</f>
        <v>0.44000000000000006</v>
      </c>
      <c r="L464" s="1324">
        <f t="shared" si="51"/>
        <v>49300.44</v>
      </c>
      <c r="M464" s="1462">
        <f>J464/10000</f>
        <v>4.93</v>
      </c>
      <c r="N464" s="1463">
        <f>K464</f>
        <v>0.44000000000000006</v>
      </c>
      <c r="O464" s="1440">
        <f>SUM(M464:N464)</f>
        <v>5.37</v>
      </c>
      <c r="P464" s="22"/>
      <c r="Q464" s="6"/>
      <c r="R464" s="2514">
        <f aca="true" t="shared" si="55" ref="R464:R486">T464*1.15</f>
        <v>23804.999999999996</v>
      </c>
      <c r="S464" s="2509"/>
      <c r="T464" s="2517">
        <v>20700</v>
      </c>
      <c r="U464" s="2509"/>
      <c r="V464" s="2509"/>
      <c r="W464" s="2523">
        <f t="shared" si="53"/>
        <v>49320</v>
      </c>
      <c r="X464" s="2538">
        <v>41100</v>
      </c>
      <c r="Y464" s="2509"/>
      <c r="Z464" s="2509"/>
    </row>
    <row r="465" spans="1:26" s="19" customFormat="1" ht="18.75">
      <c r="A465" s="11"/>
      <c r="B465" s="83" t="s">
        <v>622</v>
      </c>
      <c r="C465" s="126" t="s">
        <v>705</v>
      </c>
      <c r="D465" s="3"/>
      <c r="E465" s="3"/>
      <c r="F465" s="10"/>
      <c r="G465" s="10"/>
      <c r="H465" s="10"/>
      <c r="I465" s="41" t="s">
        <v>573</v>
      </c>
      <c r="J465" s="1141">
        <f>J464</f>
        <v>49300</v>
      </c>
      <c r="K465" s="1395">
        <f>'[1]диагн.'!$G$685</f>
        <v>0.44000000000000006</v>
      </c>
      <c r="L465" s="1324">
        <f t="shared" si="51"/>
        <v>49300.44</v>
      </c>
      <c r="M465" s="1462">
        <f>M464</f>
        <v>4.93</v>
      </c>
      <c r="N465" s="1475">
        <f>N464</f>
        <v>0.44000000000000006</v>
      </c>
      <c r="O465" s="1440">
        <f>SUM(M465:N465)</f>
        <v>5.37</v>
      </c>
      <c r="P465" s="22"/>
      <c r="Q465" s="6"/>
      <c r="R465" s="2514">
        <f t="shared" si="55"/>
        <v>13224.999999999998</v>
      </c>
      <c r="S465" s="2509"/>
      <c r="T465" s="2517">
        <v>11500</v>
      </c>
      <c r="U465" s="2509"/>
      <c r="V465" s="2509"/>
      <c r="W465" s="2523">
        <f t="shared" si="53"/>
        <v>49320</v>
      </c>
      <c r="X465" s="2538">
        <f>X464</f>
        <v>41100</v>
      </c>
      <c r="Y465" s="2509"/>
      <c r="Z465" s="2509"/>
    </row>
    <row r="466" spans="1:26" s="19" customFormat="1" ht="18.75">
      <c r="A466" s="11">
        <v>11</v>
      </c>
      <c r="B466" s="67"/>
      <c r="C466" s="1546" t="s">
        <v>731</v>
      </c>
      <c r="D466" s="3"/>
      <c r="E466" s="3"/>
      <c r="F466" s="10"/>
      <c r="G466" s="10"/>
      <c r="H466" s="10"/>
      <c r="I466" s="41"/>
      <c r="J466" s="1141"/>
      <c r="K466" s="1385"/>
      <c r="L466" s="1324"/>
      <c r="M466" s="1462"/>
      <c r="N466" s="1476"/>
      <c r="O466" s="1440"/>
      <c r="P466" s="22"/>
      <c r="Q466" s="6"/>
      <c r="R466" s="2514"/>
      <c r="S466" s="2509"/>
      <c r="T466" s="2517"/>
      <c r="U466" s="2509"/>
      <c r="V466" s="2509"/>
      <c r="W466" s="2523">
        <f t="shared" si="53"/>
        <v>0</v>
      </c>
      <c r="X466" s="2538"/>
      <c r="Y466" s="2509"/>
      <c r="Z466" s="2509"/>
    </row>
    <row r="467" spans="1:26" s="19" customFormat="1" ht="18.75">
      <c r="A467" s="11"/>
      <c r="B467" s="83" t="s">
        <v>622</v>
      </c>
      <c r="C467" s="126" t="s">
        <v>704</v>
      </c>
      <c r="D467" s="3"/>
      <c r="E467" s="3"/>
      <c r="F467" s="10"/>
      <c r="G467" s="10"/>
      <c r="H467" s="10"/>
      <c r="I467" s="41" t="s">
        <v>573</v>
      </c>
      <c r="J467" s="1141">
        <v>29600</v>
      </c>
      <c r="K467" s="1395">
        <f>'[1]диагн.'!$G$691</f>
        <v>0.30000000000000004</v>
      </c>
      <c r="L467" s="1324">
        <f t="shared" si="51"/>
        <v>29600.3</v>
      </c>
      <c r="M467" s="1462">
        <f>J467/10000</f>
        <v>2.96</v>
      </c>
      <c r="N467" s="1463">
        <f>K467</f>
        <v>0.30000000000000004</v>
      </c>
      <c r="O467" s="1440">
        <f>SUM(M467:N467)</f>
        <v>3.26</v>
      </c>
      <c r="P467" s="22"/>
      <c r="Q467" s="6"/>
      <c r="R467" s="2514">
        <f t="shared" si="55"/>
        <v>14259.999999999998</v>
      </c>
      <c r="S467" s="2509"/>
      <c r="T467" s="2517">
        <v>12400</v>
      </c>
      <c r="U467" s="2509"/>
      <c r="V467" s="2509"/>
      <c r="W467" s="2523">
        <f t="shared" si="53"/>
        <v>29640</v>
      </c>
      <c r="X467" s="2538">
        <v>24700</v>
      </c>
      <c r="Y467" s="2509"/>
      <c r="Z467" s="2509"/>
    </row>
    <row r="468" spans="1:26" s="19" customFormat="1" ht="18.75">
      <c r="A468" s="11"/>
      <c r="B468" s="83" t="s">
        <v>622</v>
      </c>
      <c r="C468" s="126" t="s">
        <v>705</v>
      </c>
      <c r="D468" s="3"/>
      <c r="E468" s="3"/>
      <c r="F468" s="10"/>
      <c r="G468" s="10"/>
      <c r="H468" s="10"/>
      <c r="I468" s="41" t="s">
        <v>573</v>
      </c>
      <c r="J468" s="1141">
        <f>J467</f>
        <v>29600</v>
      </c>
      <c r="K468" s="1395">
        <f>'[1]диагн.'!$G$691</f>
        <v>0.30000000000000004</v>
      </c>
      <c r="L468" s="1324">
        <f t="shared" si="51"/>
        <v>29600.3</v>
      </c>
      <c r="M468" s="1462">
        <f>M467</f>
        <v>2.96</v>
      </c>
      <c r="N468" s="1475">
        <f>N467</f>
        <v>0.30000000000000004</v>
      </c>
      <c r="O468" s="1440">
        <f>SUM(M468:N468)</f>
        <v>3.26</v>
      </c>
      <c r="P468" s="22"/>
      <c r="Q468" s="6"/>
      <c r="R468" s="2514">
        <f t="shared" si="55"/>
        <v>7934.999999999999</v>
      </c>
      <c r="S468" s="2509"/>
      <c r="T468" s="2517">
        <v>6900</v>
      </c>
      <c r="U468" s="2509"/>
      <c r="V468" s="2509"/>
      <c r="W468" s="2523">
        <f t="shared" si="53"/>
        <v>29640</v>
      </c>
      <c r="X468" s="2538">
        <f>X467</f>
        <v>24700</v>
      </c>
      <c r="Y468" s="2509"/>
      <c r="Z468" s="2509"/>
    </row>
    <row r="469" spans="1:26" s="19" customFormat="1" ht="18.75">
      <c r="A469" s="11">
        <v>12</v>
      </c>
      <c r="B469" s="67"/>
      <c r="C469" s="1546" t="s">
        <v>732</v>
      </c>
      <c r="D469" s="3"/>
      <c r="E469" s="3"/>
      <c r="F469" s="10"/>
      <c r="G469" s="10"/>
      <c r="H469" s="10"/>
      <c r="I469" s="41"/>
      <c r="J469" s="1141"/>
      <c r="K469" s="1385"/>
      <c r="L469" s="1324"/>
      <c r="M469" s="1462"/>
      <c r="N469" s="1476"/>
      <c r="O469" s="1440"/>
      <c r="P469" s="22"/>
      <c r="Q469" s="6"/>
      <c r="R469" s="2514"/>
      <c r="S469" s="2509"/>
      <c r="T469" s="2517"/>
      <c r="U469" s="2509"/>
      <c r="V469" s="2509"/>
      <c r="W469" s="2523">
        <f t="shared" si="53"/>
        <v>0</v>
      </c>
      <c r="X469" s="2538"/>
      <c r="Y469" s="2509"/>
      <c r="Z469" s="2509"/>
    </row>
    <row r="470" spans="1:26" s="19" customFormat="1" ht="18.75">
      <c r="A470" s="11"/>
      <c r="B470" s="83" t="s">
        <v>622</v>
      </c>
      <c r="C470" s="126" t="s">
        <v>704</v>
      </c>
      <c r="D470" s="3"/>
      <c r="E470" s="3"/>
      <c r="F470" s="10"/>
      <c r="G470" s="10"/>
      <c r="H470" s="10"/>
      <c r="I470" s="41" t="s">
        <v>573</v>
      </c>
      <c r="J470" s="1141">
        <v>39500</v>
      </c>
      <c r="K470" s="1395">
        <f>'[1]диагн.'!$G$697</f>
        <v>0.30000000000000004</v>
      </c>
      <c r="L470" s="1324">
        <f t="shared" si="51"/>
        <v>39500.3</v>
      </c>
      <c r="M470" s="1462">
        <f>J470/10000</f>
        <v>3.95</v>
      </c>
      <c r="N470" s="1463">
        <f>K470</f>
        <v>0.30000000000000004</v>
      </c>
      <c r="O470" s="1440">
        <f>SUM(M470:N470)</f>
        <v>4.25</v>
      </c>
      <c r="P470" s="22"/>
      <c r="Q470" s="6"/>
      <c r="R470" s="2514">
        <f t="shared" si="55"/>
        <v>19032.5</v>
      </c>
      <c r="S470" s="2509"/>
      <c r="T470" s="2517">
        <v>16550</v>
      </c>
      <c r="U470" s="2509"/>
      <c r="V470" s="2509"/>
      <c r="W470" s="2523">
        <f t="shared" si="53"/>
        <v>39480</v>
      </c>
      <c r="X470" s="2538">
        <v>32900</v>
      </c>
      <c r="Y470" s="2509"/>
      <c r="Z470" s="2509"/>
    </row>
    <row r="471" spans="1:26" s="19" customFormat="1" ht="18.75">
      <c r="A471" s="11"/>
      <c r="B471" s="83" t="s">
        <v>622</v>
      </c>
      <c r="C471" s="126" t="s">
        <v>705</v>
      </c>
      <c r="D471" s="3"/>
      <c r="E471" s="3"/>
      <c r="F471" s="10"/>
      <c r="G471" s="10"/>
      <c r="H471" s="10"/>
      <c r="I471" s="41" t="s">
        <v>573</v>
      </c>
      <c r="J471" s="1141">
        <f>J470</f>
        <v>39500</v>
      </c>
      <c r="K471" s="1395">
        <f>'[1]диагн.'!$G$697</f>
        <v>0.30000000000000004</v>
      </c>
      <c r="L471" s="1324">
        <f t="shared" si="51"/>
        <v>39500.3</v>
      </c>
      <c r="M471" s="1462">
        <f>M470</f>
        <v>3.95</v>
      </c>
      <c r="N471" s="1475">
        <f>N470</f>
        <v>0.30000000000000004</v>
      </c>
      <c r="O471" s="1440">
        <f>SUM(M471:N471)</f>
        <v>4.25</v>
      </c>
      <c r="P471" s="22"/>
      <c r="Q471" s="6"/>
      <c r="R471" s="2514">
        <f t="shared" si="55"/>
        <v>10580</v>
      </c>
      <c r="S471" s="2509"/>
      <c r="T471" s="2517">
        <v>9200</v>
      </c>
      <c r="U471" s="2509"/>
      <c r="V471" s="2509"/>
      <c r="W471" s="2523">
        <f t="shared" si="53"/>
        <v>39480</v>
      </c>
      <c r="X471" s="2538">
        <f>X470</f>
        <v>32900</v>
      </c>
      <c r="Y471" s="2509"/>
      <c r="Z471" s="2509"/>
    </row>
    <row r="472" spans="1:26" s="19" customFormat="1" ht="18.75">
      <c r="A472" s="11">
        <v>13</v>
      </c>
      <c r="B472" s="67"/>
      <c r="C472" s="1546" t="s">
        <v>733</v>
      </c>
      <c r="D472" s="3"/>
      <c r="E472" s="3"/>
      <c r="F472" s="10"/>
      <c r="G472" s="10"/>
      <c r="H472" s="10"/>
      <c r="I472" s="41"/>
      <c r="J472" s="1141"/>
      <c r="K472" s="1385"/>
      <c r="L472" s="1324"/>
      <c r="M472" s="1462"/>
      <c r="N472" s="1476"/>
      <c r="O472" s="1440"/>
      <c r="P472" s="22"/>
      <c r="Q472" s="6"/>
      <c r="R472" s="2514"/>
      <c r="S472" s="2509"/>
      <c r="T472" s="2517"/>
      <c r="U472" s="2509"/>
      <c r="V472" s="2509"/>
      <c r="W472" s="2523">
        <f t="shared" si="53"/>
        <v>0</v>
      </c>
      <c r="X472" s="2538"/>
      <c r="Y472" s="2509"/>
      <c r="Z472" s="2509"/>
    </row>
    <row r="473" spans="1:26" s="19" customFormat="1" ht="18.75">
      <c r="A473" s="11"/>
      <c r="B473" s="83" t="s">
        <v>622</v>
      </c>
      <c r="C473" s="126" t="s">
        <v>704</v>
      </c>
      <c r="D473" s="3"/>
      <c r="E473" s="3"/>
      <c r="F473" s="10"/>
      <c r="G473" s="10"/>
      <c r="H473" s="10"/>
      <c r="I473" s="41" t="s">
        <v>573</v>
      </c>
      <c r="J473" s="1141">
        <v>39500</v>
      </c>
      <c r="K473" s="1395">
        <f>'[1]диагн.'!$G$703</f>
        <v>0.30000000000000004</v>
      </c>
      <c r="L473" s="1324">
        <f t="shared" si="51"/>
        <v>39500.3</v>
      </c>
      <c r="M473" s="1462">
        <f>J473/10000</f>
        <v>3.95</v>
      </c>
      <c r="N473" s="1463">
        <f>K473</f>
        <v>0.30000000000000004</v>
      </c>
      <c r="O473" s="1440">
        <f>SUM(M473:N473)</f>
        <v>4.25</v>
      </c>
      <c r="P473" s="22"/>
      <c r="Q473" s="689">
        <f>L473-17900</f>
        <v>21600.300000000003</v>
      </c>
      <c r="R473" s="2514">
        <f t="shared" si="55"/>
        <v>19032.5</v>
      </c>
      <c r="S473" s="2509"/>
      <c r="T473" s="2517">
        <v>16550</v>
      </c>
      <c r="U473" s="2509"/>
      <c r="V473" s="2509"/>
      <c r="W473" s="2523">
        <f t="shared" si="53"/>
        <v>39480</v>
      </c>
      <c r="X473" s="2538">
        <v>32900</v>
      </c>
      <c r="Y473" s="2509"/>
      <c r="Z473" s="2509"/>
    </row>
    <row r="474" spans="1:26" s="19" customFormat="1" ht="18.75">
      <c r="A474" s="11"/>
      <c r="B474" s="83" t="s">
        <v>622</v>
      </c>
      <c r="C474" s="126" t="s">
        <v>705</v>
      </c>
      <c r="D474" s="3"/>
      <c r="E474" s="3"/>
      <c r="F474" s="10"/>
      <c r="G474" s="10"/>
      <c r="H474" s="10"/>
      <c r="I474" s="41" t="s">
        <v>573</v>
      </c>
      <c r="J474" s="1141">
        <f>J473</f>
        <v>39500</v>
      </c>
      <c r="K474" s="1395">
        <f>'[1]диагн.'!$G$703</f>
        <v>0.30000000000000004</v>
      </c>
      <c r="L474" s="1324">
        <f t="shared" si="51"/>
        <v>39500.3</v>
      </c>
      <c r="M474" s="1462">
        <f>M473</f>
        <v>3.95</v>
      </c>
      <c r="N474" s="1475">
        <f>N473</f>
        <v>0.30000000000000004</v>
      </c>
      <c r="O474" s="1440">
        <f>SUM(M474:N474)</f>
        <v>4.25</v>
      </c>
      <c r="P474" s="22"/>
      <c r="Q474" s="6"/>
      <c r="R474" s="2514">
        <f t="shared" si="55"/>
        <v>10580</v>
      </c>
      <c r="S474" s="2509"/>
      <c r="T474" s="2517">
        <v>9200</v>
      </c>
      <c r="U474" s="2509"/>
      <c r="V474" s="2509"/>
      <c r="W474" s="2523">
        <f t="shared" si="53"/>
        <v>39480</v>
      </c>
      <c r="X474" s="2538">
        <f>X473</f>
        <v>32900</v>
      </c>
      <c r="Y474" s="2509"/>
      <c r="Z474" s="2509"/>
    </row>
    <row r="475" spans="1:26" s="19" customFormat="1" ht="18.75">
      <c r="A475" s="11">
        <v>14</v>
      </c>
      <c r="B475" s="67"/>
      <c r="C475" s="1546" t="s">
        <v>734</v>
      </c>
      <c r="D475" s="3"/>
      <c r="E475" s="3"/>
      <c r="F475" s="10"/>
      <c r="G475" s="10"/>
      <c r="H475" s="10"/>
      <c r="I475" s="41"/>
      <c r="J475" s="1141"/>
      <c r="K475" s="1385"/>
      <c r="L475" s="1324"/>
      <c r="M475" s="1462"/>
      <c r="N475" s="1476"/>
      <c r="O475" s="1440"/>
      <c r="P475" s="22"/>
      <c r="Q475" s="6"/>
      <c r="R475" s="2514"/>
      <c r="S475" s="2509"/>
      <c r="T475" s="2517"/>
      <c r="U475" s="2517"/>
      <c r="V475" s="2517"/>
      <c r="W475" s="2523">
        <f t="shared" si="53"/>
        <v>0</v>
      </c>
      <c r="X475" s="2538"/>
      <c r="Y475" s="2509"/>
      <c r="Z475" s="2509"/>
    </row>
    <row r="476" spans="1:26" s="19" customFormat="1" ht="18.75">
      <c r="A476" s="11"/>
      <c r="B476" s="83" t="s">
        <v>622</v>
      </c>
      <c r="C476" s="126" t="s">
        <v>704</v>
      </c>
      <c r="D476" s="3"/>
      <c r="E476" s="3"/>
      <c r="F476" s="10"/>
      <c r="G476" s="10"/>
      <c r="H476" s="10"/>
      <c r="I476" s="41" t="s">
        <v>573</v>
      </c>
      <c r="J476" s="1141">
        <v>39500</v>
      </c>
      <c r="K476" s="1395">
        <f>'[1]диагн.'!$G$709</f>
        <v>0.30000000000000004</v>
      </c>
      <c r="L476" s="1324">
        <f t="shared" si="51"/>
        <v>39500.3</v>
      </c>
      <c r="M476" s="1462">
        <f>J476/10000</f>
        <v>3.95</v>
      </c>
      <c r="N476" s="1463">
        <f>K476</f>
        <v>0.30000000000000004</v>
      </c>
      <c r="O476" s="1440">
        <f>SUM(M476:N476)</f>
        <v>4.25</v>
      </c>
      <c r="P476" s="22"/>
      <c r="Q476" s="6"/>
      <c r="R476" s="2514">
        <f t="shared" si="55"/>
        <v>19032.5</v>
      </c>
      <c r="S476" s="2509"/>
      <c r="T476" s="2517">
        <v>16550</v>
      </c>
      <c r="U476" s="2517"/>
      <c r="V476" s="2517"/>
      <c r="W476" s="2523">
        <f t="shared" si="53"/>
        <v>39480</v>
      </c>
      <c r="X476" s="2538">
        <v>32900</v>
      </c>
      <c r="Y476" s="2509"/>
      <c r="Z476" s="2509"/>
    </row>
    <row r="477" spans="1:26" s="19" customFormat="1" ht="18.75">
      <c r="A477" s="11"/>
      <c r="B477" s="83" t="s">
        <v>622</v>
      </c>
      <c r="C477" s="126" t="s">
        <v>705</v>
      </c>
      <c r="D477" s="3"/>
      <c r="E477" s="3"/>
      <c r="F477" s="10"/>
      <c r="G477" s="10"/>
      <c r="H477" s="10"/>
      <c r="I477" s="41" t="s">
        <v>573</v>
      </c>
      <c r="J477" s="1141">
        <f>J476</f>
        <v>39500</v>
      </c>
      <c r="K477" s="1395">
        <f>'[1]диагн.'!$G$709</f>
        <v>0.30000000000000004</v>
      </c>
      <c r="L477" s="1324">
        <f t="shared" si="51"/>
        <v>39500.3</v>
      </c>
      <c r="M477" s="1462">
        <f>M476</f>
        <v>3.95</v>
      </c>
      <c r="N477" s="1475">
        <f>N476</f>
        <v>0.30000000000000004</v>
      </c>
      <c r="O477" s="1440">
        <f>SUM(M477:N477)</f>
        <v>4.25</v>
      </c>
      <c r="P477" s="22"/>
      <c r="Q477" s="6"/>
      <c r="R477" s="2514">
        <f t="shared" si="55"/>
        <v>10580</v>
      </c>
      <c r="S477" s="2509"/>
      <c r="T477" s="2517">
        <v>9200</v>
      </c>
      <c r="U477" s="2517"/>
      <c r="V477" s="2517"/>
      <c r="W477" s="2523">
        <f t="shared" si="53"/>
        <v>39480</v>
      </c>
      <c r="X477" s="2538">
        <f>X476</f>
        <v>32900</v>
      </c>
      <c r="Y477" s="2509"/>
      <c r="Z477" s="2509"/>
    </row>
    <row r="478" spans="1:26" s="19" customFormat="1" ht="18.75">
      <c r="A478" s="11">
        <v>15</v>
      </c>
      <c r="B478" s="67"/>
      <c r="C478" s="1546" t="s">
        <v>735</v>
      </c>
      <c r="D478" s="3"/>
      <c r="E478" s="3"/>
      <c r="F478" s="10"/>
      <c r="G478" s="10"/>
      <c r="H478" s="10"/>
      <c r="I478" s="41"/>
      <c r="J478" s="1141"/>
      <c r="K478" s="1385"/>
      <c r="L478" s="1324"/>
      <c r="M478" s="1462"/>
      <c r="N478" s="1476"/>
      <c r="O478" s="1440"/>
      <c r="P478" s="22"/>
      <c r="Q478" s="6"/>
      <c r="R478" s="2514"/>
      <c r="S478" s="2509"/>
      <c r="T478" s="2517"/>
      <c r="U478" s="2517"/>
      <c r="V478" s="2517"/>
      <c r="W478" s="2523">
        <f t="shared" si="53"/>
        <v>0</v>
      </c>
      <c r="X478" s="2538"/>
      <c r="Y478" s="2509"/>
      <c r="Z478" s="2509"/>
    </row>
    <row r="479" spans="1:26" s="19" customFormat="1" ht="18.75">
      <c r="A479" s="11"/>
      <c r="B479" s="83" t="s">
        <v>622</v>
      </c>
      <c r="C479" s="126" t="s">
        <v>704</v>
      </c>
      <c r="D479" s="3"/>
      <c r="E479" s="3"/>
      <c r="F479" s="10"/>
      <c r="G479" s="10"/>
      <c r="H479" s="10"/>
      <c r="I479" s="41" t="s">
        <v>573</v>
      </c>
      <c r="J479" s="1141">
        <v>39500</v>
      </c>
      <c r="K479" s="1395">
        <f>'[1]диагн.'!$G$715</f>
        <v>0.37</v>
      </c>
      <c r="L479" s="1324">
        <f t="shared" si="51"/>
        <v>39500.37</v>
      </c>
      <c r="M479" s="1462">
        <f>J479/10000</f>
        <v>3.95</v>
      </c>
      <c r="N479" s="1463">
        <f>K479</f>
        <v>0.37</v>
      </c>
      <c r="O479" s="1440">
        <f>SUM(M479:N479)</f>
        <v>4.32</v>
      </c>
      <c r="P479" s="22"/>
      <c r="Q479" s="6"/>
      <c r="R479" s="2514">
        <f t="shared" si="55"/>
        <v>19032.5</v>
      </c>
      <c r="S479" s="2509"/>
      <c r="T479" s="2517">
        <v>16550</v>
      </c>
      <c r="U479" s="2517"/>
      <c r="V479" s="2517"/>
      <c r="W479" s="2523">
        <f t="shared" si="53"/>
        <v>39480</v>
      </c>
      <c r="X479" s="2538">
        <v>32900</v>
      </c>
      <c r="Y479" s="2509"/>
      <c r="Z479" s="2509"/>
    </row>
    <row r="480" spans="1:26" s="19" customFormat="1" ht="18.75">
      <c r="A480" s="11"/>
      <c r="B480" s="83" t="s">
        <v>622</v>
      </c>
      <c r="C480" s="126" t="s">
        <v>705</v>
      </c>
      <c r="D480" s="3"/>
      <c r="E480" s="3"/>
      <c r="F480" s="10"/>
      <c r="G480" s="10"/>
      <c r="H480" s="10"/>
      <c r="I480" s="41" t="s">
        <v>573</v>
      </c>
      <c r="J480" s="1141">
        <f>J479</f>
        <v>39500</v>
      </c>
      <c r="K480" s="1395">
        <f>'[1]диагн.'!$G$715</f>
        <v>0.37</v>
      </c>
      <c r="L480" s="1324">
        <f t="shared" si="51"/>
        <v>39500.37</v>
      </c>
      <c r="M480" s="1462">
        <f>M479</f>
        <v>3.95</v>
      </c>
      <c r="N480" s="1475">
        <f>N479</f>
        <v>0.37</v>
      </c>
      <c r="O480" s="1440">
        <f>SUM(M480:N480)</f>
        <v>4.32</v>
      </c>
      <c r="P480" s="22"/>
      <c r="Q480" s="6"/>
      <c r="R480" s="2514">
        <f t="shared" si="55"/>
        <v>10580</v>
      </c>
      <c r="S480" s="2509"/>
      <c r="T480" s="2517">
        <v>9200</v>
      </c>
      <c r="U480" s="2517"/>
      <c r="V480" s="2517"/>
      <c r="W480" s="2523">
        <f t="shared" si="53"/>
        <v>39480</v>
      </c>
      <c r="X480" s="2538">
        <f>X479</f>
        <v>32900</v>
      </c>
      <c r="Y480" s="2509"/>
      <c r="Z480" s="2509"/>
    </row>
    <row r="481" spans="1:26" s="19" customFormat="1" ht="18.75">
      <c r="A481" s="11">
        <v>16</v>
      </c>
      <c r="B481" s="67"/>
      <c r="C481" s="1546" t="s">
        <v>736</v>
      </c>
      <c r="D481" s="3"/>
      <c r="E481" s="3"/>
      <c r="F481" s="10"/>
      <c r="G481" s="10"/>
      <c r="H481" s="10"/>
      <c r="I481" s="41"/>
      <c r="J481" s="1141"/>
      <c r="K481" s="1385"/>
      <c r="L481" s="1324"/>
      <c r="M481" s="1462"/>
      <c r="N481" s="1476"/>
      <c r="O481" s="1440"/>
      <c r="P481" s="22"/>
      <c r="Q481" s="6"/>
      <c r="R481" s="2514"/>
      <c r="S481" s="2509"/>
      <c r="T481" s="2517"/>
      <c r="U481" s="2517"/>
      <c r="V481" s="2517"/>
      <c r="W481" s="2523">
        <f t="shared" si="53"/>
        <v>0</v>
      </c>
      <c r="X481" s="2538"/>
      <c r="Y481" s="2509"/>
      <c r="Z481" s="2509"/>
    </row>
    <row r="482" spans="1:26" s="19" customFormat="1" ht="18.75">
      <c r="A482" s="11"/>
      <c r="B482" s="83" t="s">
        <v>622</v>
      </c>
      <c r="C482" s="126" t="s">
        <v>704</v>
      </c>
      <c r="D482" s="3"/>
      <c r="E482" s="3"/>
      <c r="F482" s="10"/>
      <c r="G482" s="10"/>
      <c r="H482" s="10"/>
      <c r="I482" s="41" t="s">
        <v>573</v>
      </c>
      <c r="J482" s="1141">
        <v>59200</v>
      </c>
      <c r="K482" s="1395">
        <f>'[1]диагн.'!$G$721</f>
        <v>0.37</v>
      </c>
      <c r="L482" s="1324">
        <f t="shared" si="51"/>
        <v>59200.37</v>
      </c>
      <c r="M482" s="1462">
        <f>J482/10000</f>
        <v>5.92</v>
      </c>
      <c r="N482" s="1463">
        <f>K482</f>
        <v>0.37</v>
      </c>
      <c r="O482" s="1440">
        <f>SUM(M482:N482)</f>
        <v>6.29</v>
      </c>
      <c r="P482" s="22"/>
      <c r="Q482" s="6"/>
      <c r="R482" s="2514">
        <f t="shared" si="55"/>
        <v>28519.999999999996</v>
      </c>
      <c r="S482" s="2509"/>
      <c r="T482" s="2517">
        <v>24800</v>
      </c>
      <c r="U482" s="2517"/>
      <c r="V482" s="2517"/>
      <c r="W482" s="2523">
        <f t="shared" si="53"/>
        <v>59160</v>
      </c>
      <c r="X482" s="2538">
        <v>49300</v>
      </c>
      <c r="Y482" s="2509"/>
      <c r="Z482" s="2509"/>
    </row>
    <row r="483" spans="1:26" s="19" customFormat="1" ht="18.75">
      <c r="A483" s="11"/>
      <c r="B483" s="83" t="s">
        <v>622</v>
      </c>
      <c r="C483" s="126" t="s">
        <v>705</v>
      </c>
      <c r="D483" s="3"/>
      <c r="E483" s="3"/>
      <c r="F483" s="10"/>
      <c r="G483" s="10"/>
      <c r="H483" s="10"/>
      <c r="I483" s="41" t="s">
        <v>573</v>
      </c>
      <c r="J483" s="1141">
        <f>J482</f>
        <v>59200</v>
      </c>
      <c r="K483" s="1395">
        <f>'[1]диагн.'!$G$721</f>
        <v>0.37</v>
      </c>
      <c r="L483" s="1324">
        <f t="shared" si="51"/>
        <v>59200.37</v>
      </c>
      <c r="M483" s="1462">
        <f>M482</f>
        <v>5.92</v>
      </c>
      <c r="N483" s="1475">
        <f>N482</f>
        <v>0.37</v>
      </c>
      <c r="O483" s="1440">
        <f>SUM(M483:N483)</f>
        <v>6.29</v>
      </c>
      <c r="P483" s="22"/>
      <c r="Q483" s="6"/>
      <c r="R483" s="2514">
        <f t="shared" si="55"/>
        <v>15869.999999999998</v>
      </c>
      <c r="S483" s="2509"/>
      <c r="T483" s="2517">
        <v>13800</v>
      </c>
      <c r="U483" s="2517"/>
      <c r="V483" s="2517"/>
      <c r="W483" s="2523">
        <f t="shared" si="53"/>
        <v>59160</v>
      </c>
      <c r="X483" s="2538">
        <f>X482</f>
        <v>49300</v>
      </c>
      <c r="Y483" s="2509"/>
      <c r="Z483" s="2509"/>
    </row>
    <row r="484" spans="1:26" s="19" customFormat="1" ht="18.75">
      <c r="A484" s="11">
        <v>17</v>
      </c>
      <c r="B484" s="67"/>
      <c r="C484" s="1546" t="s">
        <v>737</v>
      </c>
      <c r="D484" s="3"/>
      <c r="E484" s="3"/>
      <c r="F484" s="10"/>
      <c r="G484" s="10"/>
      <c r="H484" s="10"/>
      <c r="I484" s="41"/>
      <c r="J484" s="1141"/>
      <c r="K484" s="1385"/>
      <c r="L484" s="1324"/>
      <c r="M484" s="1462"/>
      <c r="N484" s="1476"/>
      <c r="O484" s="1440"/>
      <c r="P484" s="22"/>
      <c r="Q484" s="6"/>
      <c r="R484" s="2514"/>
      <c r="S484" s="2509"/>
      <c r="T484" s="2517"/>
      <c r="U484" s="2517"/>
      <c r="V484" s="2517"/>
      <c r="W484" s="2523">
        <f t="shared" si="53"/>
        <v>0</v>
      </c>
      <c r="X484" s="2538"/>
      <c r="Y484" s="2509"/>
      <c r="Z484" s="2509"/>
    </row>
    <row r="485" spans="1:26" s="19" customFormat="1" ht="18.75">
      <c r="A485" s="11"/>
      <c r="B485" s="83" t="s">
        <v>622</v>
      </c>
      <c r="C485" s="126" t="s">
        <v>704</v>
      </c>
      <c r="D485" s="3"/>
      <c r="E485" s="3"/>
      <c r="F485" s="10"/>
      <c r="G485" s="10"/>
      <c r="H485" s="10"/>
      <c r="I485" s="41" t="s">
        <v>573</v>
      </c>
      <c r="J485" s="1141">
        <v>59200</v>
      </c>
      <c r="K485" s="1395">
        <f>'[1]диагн.'!$G$727</f>
        <v>0.51</v>
      </c>
      <c r="L485" s="1324">
        <f t="shared" si="51"/>
        <v>59200.51</v>
      </c>
      <c r="M485" s="1462">
        <f>J485/10000</f>
        <v>5.92</v>
      </c>
      <c r="N485" s="1463">
        <f>K485</f>
        <v>0.51</v>
      </c>
      <c r="O485" s="1440">
        <f>SUM(M485:N485)</f>
        <v>6.43</v>
      </c>
      <c r="P485" s="22"/>
      <c r="Q485" s="6"/>
      <c r="R485" s="2514">
        <f t="shared" si="55"/>
        <v>28519.999999999996</v>
      </c>
      <c r="S485" s="2509"/>
      <c r="T485" s="2517">
        <v>24800</v>
      </c>
      <c r="U485" s="2517"/>
      <c r="V485" s="2517"/>
      <c r="W485" s="2523">
        <f t="shared" si="53"/>
        <v>59160</v>
      </c>
      <c r="X485" s="2538">
        <v>49300</v>
      </c>
      <c r="Y485" s="2509"/>
      <c r="Z485" s="2509"/>
    </row>
    <row r="486" spans="1:26" s="19" customFormat="1" ht="18.75">
      <c r="A486" s="11"/>
      <c r="B486" s="83" t="s">
        <v>622</v>
      </c>
      <c r="C486" s="126" t="s">
        <v>705</v>
      </c>
      <c r="D486" s="3"/>
      <c r="E486" s="3"/>
      <c r="F486" s="10"/>
      <c r="G486" s="10"/>
      <c r="H486" s="10"/>
      <c r="I486" s="41" t="s">
        <v>573</v>
      </c>
      <c r="J486" s="1141">
        <f>J485</f>
        <v>59200</v>
      </c>
      <c r="K486" s="1395">
        <f>'[1]диагн.'!$G$727</f>
        <v>0.51</v>
      </c>
      <c r="L486" s="1324">
        <f t="shared" si="51"/>
        <v>59200.51</v>
      </c>
      <c r="M486" s="1462">
        <f>M485</f>
        <v>5.92</v>
      </c>
      <c r="N486" s="1475">
        <f>N485</f>
        <v>0.51</v>
      </c>
      <c r="O486" s="1440">
        <f>SUM(M486:N486)</f>
        <v>6.43</v>
      </c>
      <c r="P486" s="22"/>
      <c r="Q486" s="6"/>
      <c r="R486" s="2514">
        <f t="shared" si="55"/>
        <v>15869.999999999998</v>
      </c>
      <c r="S486" s="2509"/>
      <c r="T486" s="2517">
        <v>13800</v>
      </c>
      <c r="U486" s="2517"/>
      <c r="V486" s="2517"/>
      <c r="W486" s="2523">
        <f t="shared" si="53"/>
        <v>59160</v>
      </c>
      <c r="X486" s="2538">
        <f>X485</f>
        <v>49300</v>
      </c>
      <c r="Y486" s="2509"/>
      <c r="Z486" s="2509"/>
    </row>
    <row r="487" spans="1:26" s="19" customFormat="1" ht="18.75">
      <c r="A487" s="11">
        <v>18</v>
      </c>
      <c r="B487" s="67"/>
      <c r="C487" s="1546" t="s">
        <v>738</v>
      </c>
      <c r="D487" s="3"/>
      <c r="E487" s="3"/>
      <c r="F487" s="10"/>
      <c r="G487" s="10"/>
      <c r="H487" s="10"/>
      <c r="I487" s="41"/>
      <c r="J487" s="1141"/>
      <c r="K487" s="1385"/>
      <c r="L487" s="1324"/>
      <c r="M487" s="1462"/>
      <c r="N487" s="1476"/>
      <c r="O487" s="1440"/>
      <c r="P487" s="22"/>
      <c r="Q487" s="6"/>
      <c r="R487" s="2514"/>
      <c r="S487" s="2509"/>
      <c r="T487" s="2517"/>
      <c r="U487" s="2517"/>
      <c r="V487" s="2517"/>
      <c r="W487" s="2523">
        <f t="shared" si="53"/>
        <v>0</v>
      </c>
      <c r="X487" s="2538"/>
      <c r="Y487" s="2509"/>
      <c r="Z487" s="2509"/>
    </row>
    <row r="488" spans="1:26" s="19" customFormat="1" ht="18.75">
      <c r="A488" s="11"/>
      <c r="B488" s="67"/>
      <c r="C488" s="1546" t="s">
        <v>739</v>
      </c>
      <c r="D488" s="3"/>
      <c r="E488" s="3"/>
      <c r="F488" s="10"/>
      <c r="G488" s="10"/>
      <c r="H488" s="10"/>
      <c r="I488" s="41"/>
      <c r="J488" s="1141"/>
      <c r="K488" s="1385"/>
      <c r="L488" s="1324"/>
      <c r="M488" s="1462"/>
      <c r="N488" s="1476"/>
      <c r="O488" s="1440"/>
      <c r="P488" s="22"/>
      <c r="Q488" s="6"/>
      <c r="R488" s="2509"/>
      <c r="S488" s="2509"/>
      <c r="T488" s="2517"/>
      <c r="U488" s="2517"/>
      <c r="V488" s="2517"/>
      <c r="W488" s="2523">
        <f t="shared" si="53"/>
        <v>0</v>
      </c>
      <c r="X488" s="2538"/>
      <c r="Y488" s="2509"/>
      <c r="Z488" s="2509"/>
    </row>
    <row r="489" spans="1:26" s="19" customFormat="1" ht="18.75">
      <c r="A489" s="11"/>
      <c r="B489" s="83" t="s">
        <v>622</v>
      </c>
      <c r="C489" s="126" t="s">
        <v>704</v>
      </c>
      <c r="D489" s="3"/>
      <c r="E489" s="3"/>
      <c r="F489" s="10"/>
      <c r="G489" s="10"/>
      <c r="H489" s="10"/>
      <c r="I489" s="41" t="s">
        <v>573</v>
      </c>
      <c r="J489" s="1141">
        <v>98500</v>
      </c>
      <c r="K489" s="1395">
        <f>'[1]диагн.'!$G$733</f>
        <v>0.51</v>
      </c>
      <c r="L489" s="1324">
        <f t="shared" si="51"/>
        <v>98500.51</v>
      </c>
      <c r="M489" s="1462">
        <f>J489/10000</f>
        <v>9.85</v>
      </c>
      <c r="N489" s="1463">
        <f>K489</f>
        <v>0.51</v>
      </c>
      <c r="O489" s="1440">
        <f>SUM(M489:N489)</f>
        <v>10.36</v>
      </c>
      <c r="P489" s="22"/>
      <c r="Q489" s="689">
        <f>L489-43500</f>
        <v>55000.509999999995</v>
      </c>
      <c r="R489" s="2514">
        <f>T489*1.15</f>
        <v>47552.49999999999</v>
      </c>
      <c r="S489" s="2509"/>
      <c r="T489" s="2517">
        <v>41350</v>
      </c>
      <c r="U489" s="2517"/>
      <c r="V489" s="2517"/>
      <c r="W489" s="2523">
        <f t="shared" si="53"/>
        <v>98520</v>
      </c>
      <c r="X489" s="2538">
        <v>82100</v>
      </c>
      <c r="Y489" s="2509"/>
      <c r="Z489" s="2509"/>
    </row>
    <row r="490" spans="1:26" s="19" customFormat="1" ht="18.75">
      <c r="A490" s="11"/>
      <c r="B490" s="83" t="s">
        <v>622</v>
      </c>
      <c r="C490" s="126" t="s">
        <v>705</v>
      </c>
      <c r="D490" s="3"/>
      <c r="E490" s="3"/>
      <c r="F490" s="10"/>
      <c r="G490" s="10"/>
      <c r="H490" s="10"/>
      <c r="I490" s="41" t="s">
        <v>573</v>
      </c>
      <c r="J490" s="1141">
        <f>J489</f>
        <v>98500</v>
      </c>
      <c r="K490" s="1395">
        <f>'[1]диагн.'!$G$733</f>
        <v>0.51</v>
      </c>
      <c r="L490" s="1324">
        <f t="shared" si="51"/>
        <v>98500.51</v>
      </c>
      <c r="M490" s="1462">
        <f>M489</f>
        <v>9.85</v>
      </c>
      <c r="N490" s="1475">
        <f>N489</f>
        <v>0.51</v>
      </c>
      <c r="O490" s="1440">
        <f>SUM(M490:N490)</f>
        <v>10.36</v>
      </c>
      <c r="P490" s="22"/>
      <c r="Q490" s="6"/>
      <c r="R490" s="2514">
        <f>T490*1.15</f>
        <v>26449.999999999996</v>
      </c>
      <c r="S490" s="2509"/>
      <c r="T490" s="2517">
        <v>23000</v>
      </c>
      <c r="U490" s="2517"/>
      <c r="V490" s="2517"/>
      <c r="W490" s="2523">
        <f t="shared" si="53"/>
        <v>98520</v>
      </c>
      <c r="X490" s="2538">
        <f>X489</f>
        <v>82100</v>
      </c>
      <c r="Y490" s="2509"/>
      <c r="Z490" s="2509"/>
    </row>
    <row r="491" spans="1:26" s="19" customFormat="1" ht="18.75">
      <c r="A491" s="11">
        <v>19</v>
      </c>
      <c r="B491" s="67"/>
      <c r="C491" s="1546" t="s">
        <v>740</v>
      </c>
      <c r="D491" s="3"/>
      <c r="E491" s="3"/>
      <c r="F491" s="2"/>
      <c r="G491" s="2"/>
      <c r="H491" s="2"/>
      <c r="I491" s="41"/>
      <c r="J491" s="1141"/>
      <c r="K491" s="1385"/>
      <c r="L491" s="1324"/>
      <c r="M491" s="1462"/>
      <c r="N491" s="1476"/>
      <c r="O491" s="1440"/>
      <c r="P491" s="22"/>
      <c r="Q491" s="6"/>
      <c r="R491" s="2514"/>
      <c r="S491" s="2509"/>
      <c r="T491" s="2517"/>
      <c r="U491" s="2517"/>
      <c r="V491" s="2517"/>
      <c r="W491" s="2523">
        <f t="shared" si="53"/>
        <v>0</v>
      </c>
      <c r="X491" s="2538"/>
      <c r="Y491" s="2509"/>
      <c r="Z491" s="2509"/>
    </row>
    <row r="492" spans="1:26" s="19" customFormat="1" ht="18.75">
      <c r="A492" s="11"/>
      <c r="B492" s="67"/>
      <c r="C492" s="1546" t="s">
        <v>741</v>
      </c>
      <c r="D492" s="3"/>
      <c r="E492" s="3"/>
      <c r="F492" s="84"/>
      <c r="G492" s="84"/>
      <c r="H492" s="84"/>
      <c r="I492" s="41"/>
      <c r="J492" s="1141"/>
      <c r="K492" s="1385"/>
      <c r="L492" s="1324"/>
      <c r="M492" s="1462"/>
      <c r="N492" s="1476"/>
      <c r="O492" s="1440"/>
      <c r="P492" s="22"/>
      <c r="Q492" s="6"/>
      <c r="R492" s="2509"/>
      <c r="S492" s="2509"/>
      <c r="T492" s="2517"/>
      <c r="U492" s="2517"/>
      <c r="V492" s="2517"/>
      <c r="W492" s="2523">
        <f t="shared" si="53"/>
        <v>0</v>
      </c>
      <c r="X492" s="2538"/>
      <c r="Y492" s="2509"/>
      <c r="Z492" s="2509"/>
    </row>
    <row r="493" spans="1:26" s="19" customFormat="1" ht="18.75">
      <c r="A493" s="11"/>
      <c r="B493" s="67"/>
      <c r="C493" s="1546" t="s">
        <v>742</v>
      </c>
      <c r="D493" s="3"/>
      <c r="E493" s="3"/>
      <c r="F493" s="84"/>
      <c r="G493" s="84"/>
      <c r="H493" s="84"/>
      <c r="I493" s="41"/>
      <c r="J493" s="1141"/>
      <c r="K493" s="1385"/>
      <c r="L493" s="1324"/>
      <c r="M493" s="1462"/>
      <c r="N493" s="1476"/>
      <c r="O493" s="1440"/>
      <c r="P493" s="22"/>
      <c r="Q493" s="6"/>
      <c r="R493" s="2509"/>
      <c r="S493" s="2509"/>
      <c r="T493" s="2517"/>
      <c r="U493" s="2517"/>
      <c r="V493" s="2517"/>
      <c r="W493" s="2523">
        <f t="shared" si="53"/>
        <v>0</v>
      </c>
      <c r="X493" s="2538"/>
      <c r="Y493" s="2509"/>
      <c r="Z493" s="2509"/>
    </row>
    <row r="494" spans="1:26" s="19" customFormat="1" ht="18.75">
      <c r="A494" s="11"/>
      <c r="B494" s="83" t="s">
        <v>622</v>
      </c>
      <c r="C494" s="126" t="s">
        <v>704</v>
      </c>
      <c r="D494" s="3"/>
      <c r="E494" s="3"/>
      <c r="F494" s="84"/>
      <c r="G494" s="84"/>
      <c r="H494" s="84"/>
      <c r="I494" s="41" t="s">
        <v>573</v>
      </c>
      <c r="J494" s="1141">
        <v>98500</v>
      </c>
      <c r="K494" s="1395">
        <f>'[1]диагн.'!$G$739</f>
        <v>0.44000000000000006</v>
      </c>
      <c r="L494" s="1324">
        <f t="shared" si="51"/>
        <v>98500.44</v>
      </c>
      <c r="M494" s="1462">
        <f>J494/10000</f>
        <v>9.85</v>
      </c>
      <c r="N494" s="1463">
        <f>K494</f>
        <v>0.44000000000000006</v>
      </c>
      <c r="O494" s="1440">
        <f>SUM(M494:N494)</f>
        <v>10.29</v>
      </c>
      <c r="P494" s="22"/>
      <c r="Q494" s="6"/>
      <c r="R494" s="2514">
        <f>T494*1.15</f>
        <v>47552.49999999999</v>
      </c>
      <c r="S494" s="2509"/>
      <c r="T494" s="2517">
        <v>41350</v>
      </c>
      <c r="U494" s="2517"/>
      <c r="V494" s="2517"/>
      <c r="W494" s="2523">
        <f t="shared" si="53"/>
        <v>98520</v>
      </c>
      <c r="X494" s="2538">
        <v>82100</v>
      </c>
      <c r="Y494" s="2509"/>
      <c r="Z494" s="2509"/>
    </row>
    <row r="495" spans="1:26" s="19" customFormat="1" ht="18.75">
      <c r="A495" s="11"/>
      <c r="B495" s="83" t="s">
        <v>622</v>
      </c>
      <c r="C495" s="126" t="s">
        <v>705</v>
      </c>
      <c r="D495" s="3"/>
      <c r="E495" s="3"/>
      <c r="F495" s="84"/>
      <c r="G495" s="84"/>
      <c r="H495" s="84"/>
      <c r="I495" s="41" t="s">
        <v>573</v>
      </c>
      <c r="J495" s="1141">
        <f>J494</f>
        <v>98500</v>
      </c>
      <c r="K495" s="1395">
        <f>'[1]диагн.'!$G$739</f>
        <v>0.44000000000000006</v>
      </c>
      <c r="L495" s="1324">
        <f t="shared" si="51"/>
        <v>98500.44</v>
      </c>
      <c r="M495" s="1462">
        <f>M494</f>
        <v>9.85</v>
      </c>
      <c r="N495" s="1475">
        <f>N494</f>
        <v>0.44000000000000006</v>
      </c>
      <c r="O495" s="1440">
        <f>SUM(M495:N495)</f>
        <v>10.29</v>
      </c>
      <c r="P495" s="22"/>
      <c r="Q495" s="6"/>
      <c r="R495" s="2514">
        <f>T495*1.15</f>
        <v>26449.999999999996</v>
      </c>
      <c r="S495" s="2509"/>
      <c r="T495" s="2517">
        <v>23000</v>
      </c>
      <c r="U495" s="2517"/>
      <c r="V495" s="2517"/>
      <c r="W495" s="2523">
        <f t="shared" si="53"/>
        <v>98520</v>
      </c>
      <c r="X495" s="2538">
        <f>X494</f>
        <v>82100</v>
      </c>
      <c r="Y495" s="2509"/>
      <c r="Z495" s="2509"/>
    </row>
    <row r="496" spans="1:26" s="19" customFormat="1" ht="18.75">
      <c r="A496" s="11"/>
      <c r="B496" s="67"/>
      <c r="C496" s="1545" t="s">
        <v>743</v>
      </c>
      <c r="D496" s="3"/>
      <c r="E496" s="3"/>
      <c r="F496" s="2"/>
      <c r="G496" s="2"/>
      <c r="H496" s="2"/>
      <c r="I496" s="41"/>
      <c r="J496" s="1141"/>
      <c r="K496" s="1385"/>
      <c r="L496" s="1324"/>
      <c r="M496" s="1462"/>
      <c r="N496" s="1476"/>
      <c r="O496" s="1440"/>
      <c r="P496" s="22"/>
      <c r="Q496" s="6"/>
      <c r="R496" s="2514"/>
      <c r="S496" s="2509"/>
      <c r="T496" s="2517"/>
      <c r="U496" s="2517"/>
      <c r="V496" s="2517"/>
      <c r="W496" s="2523">
        <f t="shared" si="53"/>
        <v>0</v>
      </c>
      <c r="X496" s="2538"/>
      <c r="Y496" s="2509"/>
      <c r="Z496" s="2509"/>
    </row>
    <row r="497" spans="1:26" s="19" customFormat="1" ht="18.75">
      <c r="A497" s="11">
        <v>20</v>
      </c>
      <c r="B497" s="67"/>
      <c r="C497" s="1546" t="s">
        <v>744</v>
      </c>
      <c r="D497" s="3"/>
      <c r="E497" s="3"/>
      <c r="F497" s="10"/>
      <c r="G497" s="10"/>
      <c r="H497" s="10"/>
      <c r="I497" s="41"/>
      <c r="J497" s="1141"/>
      <c r="K497" s="1385"/>
      <c r="L497" s="1324"/>
      <c r="M497" s="1462"/>
      <c r="N497" s="1476"/>
      <c r="O497" s="1440"/>
      <c r="P497" s="22"/>
      <c r="Q497" s="6"/>
      <c r="R497" s="2509"/>
      <c r="S497" s="2509"/>
      <c r="T497" s="2517"/>
      <c r="U497" s="2517"/>
      <c r="V497" s="2517"/>
      <c r="W497" s="2523">
        <f t="shared" si="53"/>
        <v>0</v>
      </c>
      <c r="X497" s="2538"/>
      <c r="Y497" s="2509"/>
      <c r="Z497" s="2509"/>
    </row>
    <row r="498" spans="1:26" s="19" customFormat="1" ht="18.75">
      <c r="A498" s="11"/>
      <c r="B498" s="83" t="s">
        <v>622</v>
      </c>
      <c r="C498" s="126" t="s">
        <v>704</v>
      </c>
      <c r="D498" s="3"/>
      <c r="E498" s="3"/>
      <c r="F498" s="10"/>
      <c r="G498" s="10"/>
      <c r="H498" s="10"/>
      <c r="I498" s="41" t="s">
        <v>573</v>
      </c>
      <c r="J498" s="1141">
        <v>39500</v>
      </c>
      <c r="K498" s="1395">
        <f>'[1]диагн.'!$G$746</f>
        <v>0.30000000000000004</v>
      </c>
      <c r="L498" s="1324">
        <f t="shared" si="51"/>
        <v>39500.3</v>
      </c>
      <c r="M498" s="1462">
        <f>J498/10000</f>
        <v>3.95</v>
      </c>
      <c r="N498" s="1463">
        <f>K498</f>
        <v>0.30000000000000004</v>
      </c>
      <c r="O498" s="1440">
        <f>SUM(M498:N498)</f>
        <v>4.25</v>
      </c>
      <c r="P498" s="22"/>
      <c r="Q498" s="6"/>
      <c r="R498" s="2514">
        <f aca="true" t="shared" si="56" ref="R498:R525">T498*1.15</f>
        <v>19032.5</v>
      </c>
      <c r="S498" s="2509"/>
      <c r="T498" s="2517">
        <v>16550</v>
      </c>
      <c r="U498" s="2517"/>
      <c r="V498" s="2517"/>
      <c r="W498" s="2523">
        <f t="shared" si="53"/>
        <v>39480</v>
      </c>
      <c r="X498" s="2538">
        <v>32900</v>
      </c>
      <c r="Y498" s="2509"/>
      <c r="Z498" s="2509"/>
    </row>
    <row r="499" spans="1:26" s="19" customFormat="1" ht="18.75">
      <c r="A499" s="11"/>
      <c r="B499" s="83" t="s">
        <v>622</v>
      </c>
      <c r="C499" s="126" t="s">
        <v>705</v>
      </c>
      <c r="D499" s="3"/>
      <c r="E499" s="3"/>
      <c r="F499" s="10"/>
      <c r="G499" s="10"/>
      <c r="H499" s="10"/>
      <c r="I499" s="41" t="s">
        <v>573</v>
      </c>
      <c r="J499" s="1141">
        <f>J498</f>
        <v>39500</v>
      </c>
      <c r="K499" s="1395">
        <f>'[1]диагн.'!$G$746</f>
        <v>0.30000000000000004</v>
      </c>
      <c r="L499" s="1324">
        <f>SUM(J499:K499)</f>
        <v>39500.3</v>
      </c>
      <c r="M499" s="1462">
        <f>M498</f>
        <v>3.95</v>
      </c>
      <c r="N499" s="1475">
        <f>N498</f>
        <v>0.30000000000000004</v>
      </c>
      <c r="O499" s="1440">
        <f>SUM(M499:N499)</f>
        <v>4.25</v>
      </c>
      <c r="P499" s="22"/>
      <c r="Q499" s="6"/>
      <c r="R499" s="2514">
        <f t="shared" si="56"/>
        <v>10580</v>
      </c>
      <c r="S499" s="2509"/>
      <c r="T499" s="2517">
        <v>9200</v>
      </c>
      <c r="U499" s="2517"/>
      <c r="V499" s="2517"/>
      <c r="W499" s="2523">
        <f t="shared" si="53"/>
        <v>39480</v>
      </c>
      <c r="X499" s="2538">
        <f>X498</f>
        <v>32900</v>
      </c>
      <c r="Y499" s="2509"/>
      <c r="Z499" s="2509"/>
    </row>
    <row r="500" spans="1:26" s="19" customFormat="1" ht="18.75">
      <c r="A500" s="11">
        <v>21</v>
      </c>
      <c r="B500" s="67"/>
      <c r="C500" s="1546" t="s">
        <v>745</v>
      </c>
      <c r="D500" s="3"/>
      <c r="E500" s="3"/>
      <c r="F500" s="10"/>
      <c r="G500" s="10"/>
      <c r="H500" s="10"/>
      <c r="I500" s="41"/>
      <c r="J500" s="1141"/>
      <c r="K500" s="1385"/>
      <c r="L500" s="1324"/>
      <c r="M500" s="1462"/>
      <c r="N500" s="1476"/>
      <c r="O500" s="1440"/>
      <c r="P500" s="22"/>
      <c r="Q500" s="6"/>
      <c r="R500" s="2514"/>
      <c r="S500" s="2509"/>
      <c r="T500" s="2517"/>
      <c r="U500" s="2517"/>
      <c r="V500" s="2517"/>
      <c r="W500" s="2523">
        <f t="shared" si="53"/>
        <v>0</v>
      </c>
      <c r="X500" s="2538"/>
      <c r="Y500" s="2509"/>
      <c r="Z500" s="2509"/>
    </row>
    <row r="501" spans="1:26" s="19" customFormat="1" ht="18.75">
      <c r="A501" s="11"/>
      <c r="B501" s="83" t="s">
        <v>622</v>
      </c>
      <c r="C501" s="126" t="s">
        <v>704</v>
      </c>
      <c r="D501" s="3"/>
      <c r="E501" s="3"/>
      <c r="F501" s="10"/>
      <c r="G501" s="10"/>
      <c r="H501" s="10"/>
      <c r="I501" s="41" t="s">
        <v>573</v>
      </c>
      <c r="J501" s="1141">
        <v>49300</v>
      </c>
      <c r="K501" s="1395">
        <f>'[1]диагн.'!$G$752</f>
        <v>0.44000000000000006</v>
      </c>
      <c r="L501" s="1324">
        <f>SUM(J501:K501)</f>
        <v>49300.44</v>
      </c>
      <c r="M501" s="1462">
        <f>J501/10000</f>
        <v>4.93</v>
      </c>
      <c r="N501" s="1463">
        <f>K501</f>
        <v>0.44000000000000006</v>
      </c>
      <c r="O501" s="1440">
        <f>SUM(M501:N501)</f>
        <v>5.37</v>
      </c>
      <c r="P501" s="22"/>
      <c r="Q501" s="6"/>
      <c r="R501" s="2514">
        <f t="shared" si="56"/>
        <v>23804.999999999996</v>
      </c>
      <c r="S501" s="2509"/>
      <c r="T501" s="2517">
        <v>20700</v>
      </c>
      <c r="U501" s="2517"/>
      <c r="V501" s="2517"/>
      <c r="W501" s="2523">
        <f t="shared" si="53"/>
        <v>49320</v>
      </c>
      <c r="X501" s="2538">
        <v>41100</v>
      </c>
      <c r="Y501" s="2509"/>
      <c r="Z501" s="2509"/>
    </row>
    <row r="502" spans="1:26" s="19" customFormat="1" ht="18.75">
      <c r="A502" s="11"/>
      <c r="B502" s="83" t="s">
        <v>622</v>
      </c>
      <c r="C502" s="126" t="s">
        <v>705</v>
      </c>
      <c r="D502" s="3"/>
      <c r="E502" s="3"/>
      <c r="F502" s="10"/>
      <c r="G502" s="10"/>
      <c r="H502" s="10"/>
      <c r="I502" s="41" t="s">
        <v>573</v>
      </c>
      <c r="J502" s="1141">
        <f>J501</f>
        <v>49300</v>
      </c>
      <c r="K502" s="1395">
        <f>'[1]диагн.'!$G$752</f>
        <v>0.44000000000000006</v>
      </c>
      <c r="L502" s="1324">
        <f>SUM(J502:K502)</f>
        <v>49300.44</v>
      </c>
      <c r="M502" s="1462">
        <f>M501</f>
        <v>4.93</v>
      </c>
      <c r="N502" s="1475">
        <f>N501</f>
        <v>0.44000000000000006</v>
      </c>
      <c r="O502" s="1440">
        <f>SUM(M502:N502)</f>
        <v>5.37</v>
      </c>
      <c r="P502" s="22"/>
      <c r="Q502" s="6"/>
      <c r="R502" s="2514">
        <f t="shared" si="56"/>
        <v>13224.999999999998</v>
      </c>
      <c r="S502" s="2509"/>
      <c r="T502" s="2517">
        <v>11500</v>
      </c>
      <c r="U502" s="2517"/>
      <c r="V502" s="2517"/>
      <c r="W502" s="2523">
        <f t="shared" si="53"/>
        <v>49320</v>
      </c>
      <c r="X502" s="2538">
        <f>X501</f>
        <v>41100</v>
      </c>
      <c r="Y502" s="2509"/>
      <c r="Z502" s="2509"/>
    </row>
    <row r="503" spans="1:26" s="19" customFormat="1" ht="18.75">
      <c r="A503" s="11">
        <v>22</v>
      </c>
      <c r="B503" s="67"/>
      <c r="C503" s="1546" t="s">
        <v>746</v>
      </c>
      <c r="D503" s="3"/>
      <c r="E503" s="3"/>
      <c r="F503" s="10"/>
      <c r="G503" s="10"/>
      <c r="H503" s="10"/>
      <c r="I503" s="41"/>
      <c r="J503" s="1141"/>
      <c r="K503" s="1385"/>
      <c r="L503" s="1324"/>
      <c r="M503" s="1462"/>
      <c r="N503" s="1476"/>
      <c r="O503" s="1440"/>
      <c r="P503" s="22"/>
      <c r="Q503" s="6"/>
      <c r="R503" s="2514"/>
      <c r="S503" s="2509"/>
      <c r="T503" s="2517"/>
      <c r="U503" s="2517"/>
      <c r="V503" s="2517"/>
      <c r="W503" s="2523">
        <f aca="true" t="shared" si="57" ref="W503:W566">X503*1.2</f>
        <v>0</v>
      </c>
      <c r="X503" s="2538"/>
      <c r="Y503" s="2509"/>
      <c r="Z503" s="2509"/>
    </row>
    <row r="504" spans="1:26" s="19" customFormat="1" ht="18.75">
      <c r="A504" s="11"/>
      <c r="B504" s="83" t="s">
        <v>622</v>
      </c>
      <c r="C504" s="126" t="s">
        <v>704</v>
      </c>
      <c r="D504" s="3"/>
      <c r="E504" s="3"/>
      <c r="F504" s="10"/>
      <c r="G504" s="10"/>
      <c r="H504" s="10"/>
      <c r="I504" s="41" t="s">
        <v>573</v>
      </c>
      <c r="J504" s="1141">
        <v>19700</v>
      </c>
      <c r="K504" s="1395">
        <f>'[1]диагн.'!$G$764</f>
        <v>0.30000000000000004</v>
      </c>
      <c r="L504" s="1324">
        <f>SUM(J504:K504)</f>
        <v>19700.3</v>
      </c>
      <c r="M504" s="1462">
        <f>J504/10000</f>
        <v>1.97</v>
      </c>
      <c r="N504" s="1463">
        <f>K504</f>
        <v>0.30000000000000004</v>
      </c>
      <c r="O504" s="1440">
        <f>SUM(M504:N504)</f>
        <v>2.27</v>
      </c>
      <c r="P504" s="22"/>
      <c r="Q504" s="6"/>
      <c r="R504" s="2514">
        <f t="shared" si="56"/>
        <v>9487.5</v>
      </c>
      <c r="S504" s="2509"/>
      <c r="T504" s="2517">
        <v>8250</v>
      </c>
      <c r="U504" s="2517"/>
      <c r="V504" s="2517"/>
      <c r="W504" s="2523">
        <f t="shared" si="57"/>
        <v>19680</v>
      </c>
      <c r="X504" s="2538">
        <v>16400</v>
      </c>
      <c r="Y504" s="2509"/>
      <c r="Z504" s="2509"/>
    </row>
    <row r="505" spans="1:26" s="19" customFormat="1" ht="18.75">
      <c r="A505" s="11"/>
      <c r="B505" s="83" t="s">
        <v>622</v>
      </c>
      <c r="C505" s="126" t="s">
        <v>705</v>
      </c>
      <c r="D505" s="3"/>
      <c r="E505" s="3"/>
      <c r="F505" s="10"/>
      <c r="G505" s="10"/>
      <c r="H505" s="10"/>
      <c r="I505" s="41" t="s">
        <v>573</v>
      </c>
      <c r="J505" s="1141">
        <f>J504</f>
        <v>19700</v>
      </c>
      <c r="K505" s="1395">
        <f>'[1]диагн.'!$G$758</f>
        <v>0.30000000000000004</v>
      </c>
      <c r="L505" s="1324">
        <f>SUM(J505:K505)</f>
        <v>19700.3</v>
      </c>
      <c r="M505" s="1462">
        <f>M504</f>
        <v>1.97</v>
      </c>
      <c r="N505" s="1475">
        <f>N504</f>
        <v>0.30000000000000004</v>
      </c>
      <c r="O505" s="1440">
        <f>SUM(M505:N505)</f>
        <v>2.27</v>
      </c>
      <c r="P505" s="22"/>
      <c r="Q505" s="6"/>
      <c r="R505" s="2514">
        <f t="shared" si="56"/>
        <v>5290</v>
      </c>
      <c r="S505" s="2509"/>
      <c r="T505" s="2517">
        <v>4600</v>
      </c>
      <c r="U505" s="2517"/>
      <c r="V505" s="2517"/>
      <c r="W505" s="2523">
        <f t="shared" si="57"/>
        <v>19680</v>
      </c>
      <c r="X505" s="2538">
        <f>X504</f>
        <v>16400</v>
      </c>
      <c r="Y505" s="2509"/>
      <c r="Z505" s="2509"/>
    </row>
    <row r="506" spans="1:26" s="19" customFormat="1" ht="18.75">
      <c r="A506" s="11">
        <v>23</v>
      </c>
      <c r="B506" s="67"/>
      <c r="C506" s="1546" t="s">
        <v>747</v>
      </c>
      <c r="D506" s="3"/>
      <c r="E506" s="3"/>
      <c r="F506" s="10"/>
      <c r="G506" s="10"/>
      <c r="H506" s="10"/>
      <c r="I506" s="41"/>
      <c r="J506" s="1141"/>
      <c r="K506" s="1385"/>
      <c r="L506" s="1324"/>
      <c r="M506" s="1462"/>
      <c r="N506" s="1476"/>
      <c r="O506" s="1440"/>
      <c r="P506" s="22"/>
      <c r="Q506" s="6"/>
      <c r="R506" s="2514"/>
      <c r="S506" s="2509"/>
      <c r="T506" s="2517"/>
      <c r="U506" s="2517"/>
      <c r="V506" s="2517"/>
      <c r="W506" s="2523">
        <f t="shared" si="57"/>
        <v>0</v>
      </c>
      <c r="X506" s="2538"/>
      <c r="Y506" s="2509"/>
      <c r="Z506" s="2509"/>
    </row>
    <row r="507" spans="1:26" s="19" customFormat="1" ht="18.75">
      <c r="A507" s="11"/>
      <c r="B507" s="83" t="s">
        <v>622</v>
      </c>
      <c r="C507" s="126" t="s">
        <v>704</v>
      </c>
      <c r="D507" s="3"/>
      <c r="E507" s="3"/>
      <c r="F507" s="10"/>
      <c r="G507" s="10"/>
      <c r="H507" s="10"/>
      <c r="I507" s="41" t="s">
        <v>573</v>
      </c>
      <c r="J507" s="1141">
        <v>19700</v>
      </c>
      <c r="K507" s="1395">
        <f>'[1]диагн.'!$G$764</f>
        <v>0.30000000000000004</v>
      </c>
      <c r="L507" s="1324">
        <f>SUM(J507:K507)</f>
        <v>19700.3</v>
      </c>
      <c r="M507" s="1462">
        <f>J507/10000</f>
        <v>1.97</v>
      </c>
      <c r="N507" s="1463">
        <f>K507</f>
        <v>0.30000000000000004</v>
      </c>
      <c r="O507" s="1440">
        <f>SUM(M507:N507)</f>
        <v>2.27</v>
      </c>
      <c r="P507" s="22"/>
      <c r="Q507" s="6"/>
      <c r="R507" s="2514">
        <f t="shared" si="56"/>
        <v>9487.5</v>
      </c>
      <c r="S507" s="2509"/>
      <c r="T507" s="2517">
        <v>8250</v>
      </c>
      <c r="U507" s="2517"/>
      <c r="V507" s="2517"/>
      <c r="W507" s="2523">
        <f t="shared" si="57"/>
        <v>19680</v>
      </c>
      <c r="X507" s="2538">
        <v>16400</v>
      </c>
      <c r="Y507" s="2509"/>
      <c r="Z507" s="2509"/>
    </row>
    <row r="508" spans="1:26" s="19" customFormat="1" ht="18.75">
      <c r="A508" s="11"/>
      <c r="B508" s="83" t="s">
        <v>622</v>
      </c>
      <c r="C508" s="126" t="s">
        <v>705</v>
      </c>
      <c r="D508" s="3"/>
      <c r="E508" s="3"/>
      <c r="F508" s="10"/>
      <c r="G508" s="10"/>
      <c r="H508" s="10"/>
      <c r="I508" s="41" t="s">
        <v>573</v>
      </c>
      <c r="J508" s="1141">
        <f>J507</f>
        <v>19700</v>
      </c>
      <c r="K508" s="1395">
        <f>'[1]диагн.'!$G$764</f>
        <v>0.30000000000000004</v>
      </c>
      <c r="L508" s="1324">
        <f>SUM(J508:K508)</f>
        <v>19700.3</v>
      </c>
      <c r="M508" s="1462">
        <f>M507</f>
        <v>1.97</v>
      </c>
      <c r="N508" s="1475">
        <f>N507</f>
        <v>0.30000000000000004</v>
      </c>
      <c r="O508" s="1440">
        <f>SUM(M508:N508)</f>
        <v>2.27</v>
      </c>
      <c r="P508" s="22"/>
      <c r="Q508" s="6"/>
      <c r="R508" s="2514">
        <f t="shared" si="56"/>
        <v>5290</v>
      </c>
      <c r="S508" s="2509"/>
      <c r="T508" s="2517">
        <v>4600</v>
      </c>
      <c r="U508" s="2517"/>
      <c r="V508" s="2517"/>
      <c r="W508" s="2523">
        <f t="shared" si="57"/>
        <v>19680</v>
      </c>
      <c r="X508" s="2538">
        <f>X507</f>
        <v>16400</v>
      </c>
      <c r="Y508" s="2509"/>
      <c r="Z508" s="2509"/>
    </row>
    <row r="509" spans="1:26" s="19" customFormat="1" ht="18.75">
      <c r="A509" s="11">
        <v>24</v>
      </c>
      <c r="B509" s="67"/>
      <c r="C509" s="1546" t="s">
        <v>748</v>
      </c>
      <c r="D509" s="3"/>
      <c r="E509" s="3"/>
      <c r="F509" s="10"/>
      <c r="G509" s="10"/>
      <c r="H509" s="10"/>
      <c r="I509" s="41"/>
      <c r="J509" s="1141"/>
      <c r="K509" s="1385"/>
      <c r="L509" s="1324"/>
      <c r="M509" s="1462"/>
      <c r="N509" s="1476"/>
      <c r="O509" s="1440"/>
      <c r="P509" s="22"/>
      <c r="Q509" s="6"/>
      <c r="R509" s="2514"/>
      <c r="S509" s="2509"/>
      <c r="T509" s="2517"/>
      <c r="U509" s="2517"/>
      <c r="V509" s="2517"/>
      <c r="W509" s="2523">
        <f t="shared" si="57"/>
        <v>0</v>
      </c>
      <c r="X509" s="2538"/>
      <c r="Y509" s="2509"/>
      <c r="Z509" s="2509"/>
    </row>
    <row r="510" spans="1:26" s="19" customFormat="1" ht="18.75">
      <c r="A510" s="11"/>
      <c r="B510" s="83" t="s">
        <v>622</v>
      </c>
      <c r="C510" s="126" t="s">
        <v>704</v>
      </c>
      <c r="D510" s="3"/>
      <c r="E510" s="3"/>
      <c r="F510" s="10"/>
      <c r="G510" s="10"/>
      <c r="H510" s="10"/>
      <c r="I510" s="41" t="s">
        <v>573</v>
      </c>
      <c r="J510" s="1141">
        <v>39500</v>
      </c>
      <c r="K510" s="1395">
        <f>'[1]диагн.'!$G$770</f>
        <v>0.30000000000000004</v>
      </c>
      <c r="L510" s="1324">
        <f>SUM(J510:K510)</f>
        <v>39500.3</v>
      </c>
      <c r="M510" s="1462">
        <f>J510/10000</f>
        <v>3.95</v>
      </c>
      <c r="N510" s="1463">
        <f>K510</f>
        <v>0.30000000000000004</v>
      </c>
      <c r="O510" s="1440">
        <f>SUM(M510:N510)</f>
        <v>4.25</v>
      </c>
      <c r="P510" s="22"/>
      <c r="Q510" s="6"/>
      <c r="R510" s="2514">
        <f t="shared" si="56"/>
        <v>19032.5</v>
      </c>
      <c r="S510" s="2509"/>
      <c r="T510" s="2517">
        <v>16550</v>
      </c>
      <c r="U510" s="2517"/>
      <c r="V510" s="2517"/>
      <c r="W510" s="2523">
        <f t="shared" si="57"/>
        <v>39480</v>
      </c>
      <c r="X510" s="2538">
        <v>32900</v>
      </c>
      <c r="Y510" s="2509"/>
      <c r="Z510" s="2509"/>
    </row>
    <row r="511" spans="1:26" s="19" customFormat="1" ht="18.75">
      <c r="A511" s="11"/>
      <c r="B511" s="83" t="s">
        <v>622</v>
      </c>
      <c r="C511" s="126" t="s">
        <v>705</v>
      </c>
      <c r="D511" s="3"/>
      <c r="E511" s="3"/>
      <c r="F511" s="10"/>
      <c r="G511" s="10"/>
      <c r="H511" s="10"/>
      <c r="I511" s="41" t="s">
        <v>573</v>
      </c>
      <c r="J511" s="1141">
        <f>J510</f>
        <v>39500</v>
      </c>
      <c r="K511" s="1395">
        <f>'[1]диагн.'!$G$770</f>
        <v>0.30000000000000004</v>
      </c>
      <c r="L511" s="1324">
        <f>SUM(J511:K511)</f>
        <v>39500.3</v>
      </c>
      <c r="M511" s="1462">
        <f>M510</f>
        <v>3.95</v>
      </c>
      <c r="N511" s="1475">
        <f>N510</f>
        <v>0.30000000000000004</v>
      </c>
      <c r="O511" s="1440">
        <f>SUM(M511:N511)</f>
        <v>4.25</v>
      </c>
      <c r="P511" s="22"/>
      <c r="Q511" s="6"/>
      <c r="R511" s="2514">
        <f t="shared" si="56"/>
        <v>10580</v>
      </c>
      <c r="S511" s="2509"/>
      <c r="T511" s="2517">
        <v>9200</v>
      </c>
      <c r="U511" s="2517"/>
      <c r="V511" s="2517"/>
      <c r="W511" s="2523">
        <f t="shared" si="57"/>
        <v>39480</v>
      </c>
      <c r="X511" s="2538">
        <f>X510</f>
        <v>32900</v>
      </c>
      <c r="Y511" s="2509"/>
      <c r="Z511" s="2509"/>
    </row>
    <row r="512" spans="1:26" s="19" customFormat="1" ht="18.75">
      <c r="A512" s="11">
        <v>25</v>
      </c>
      <c r="B512" s="67"/>
      <c r="C512" s="1546" t="s">
        <v>749</v>
      </c>
      <c r="D512" s="3"/>
      <c r="E512" s="3"/>
      <c r="F512" s="10"/>
      <c r="G512" s="10"/>
      <c r="H512" s="10"/>
      <c r="I512" s="41"/>
      <c r="J512" s="1141"/>
      <c r="K512" s="1385"/>
      <c r="L512" s="1324"/>
      <c r="M512" s="1462"/>
      <c r="N512" s="1476"/>
      <c r="O512" s="1440"/>
      <c r="P512" s="22"/>
      <c r="Q512" s="6"/>
      <c r="R512" s="2514"/>
      <c r="S512" s="2509"/>
      <c r="T512" s="2517"/>
      <c r="U512" s="2517"/>
      <c r="V512" s="2517"/>
      <c r="W512" s="2523">
        <f t="shared" si="57"/>
        <v>0</v>
      </c>
      <c r="X512" s="2538"/>
      <c r="Y512" s="2509"/>
      <c r="Z512" s="2509"/>
    </row>
    <row r="513" spans="1:26" s="19" customFormat="1" ht="18.75">
      <c r="A513" s="11"/>
      <c r="B513" s="83" t="s">
        <v>622</v>
      </c>
      <c r="C513" s="126" t="s">
        <v>704</v>
      </c>
      <c r="D513" s="3"/>
      <c r="E513" s="3"/>
      <c r="F513" s="10"/>
      <c r="G513" s="10"/>
      <c r="H513" s="10"/>
      <c r="I513" s="41" t="s">
        <v>573</v>
      </c>
      <c r="J513" s="1141">
        <v>19700</v>
      </c>
      <c r="K513" s="1395">
        <f>'[1]диагн.'!$G$776</f>
        <v>0.30000000000000004</v>
      </c>
      <c r="L513" s="1324">
        <f>SUM(J513:K513)</f>
        <v>19700.3</v>
      </c>
      <c r="M513" s="1462">
        <f>J513/10000</f>
        <v>1.97</v>
      </c>
      <c r="N513" s="1463">
        <f>K513</f>
        <v>0.30000000000000004</v>
      </c>
      <c r="O513" s="1440">
        <f>SUM(M513:N513)</f>
        <v>2.27</v>
      </c>
      <c r="P513" s="22"/>
      <c r="Q513" s="6"/>
      <c r="R513" s="2514">
        <f t="shared" si="56"/>
        <v>9487.5</v>
      </c>
      <c r="S513" s="2509"/>
      <c r="T513" s="2517">
        <v>8250</v>
      </c>
      <c r="U513" s="2517"/>
      <c r="V513" s="2517"/>
      <c r="W513" s="2523">
        <f t="shared" si="57"/>
        <v>19680</v>
      </c>
      <c r="X513" s="2538">
        <v>16400</v>
      </c>
      <c r="Y513" s="2509"/>
      <c r="Z513" s="2509"/>
    </row>
    <row r="514" spans="1:26" s="19" customFormat="1" ht="18.75">
      <c r="A514" s="11"/>
      <c r="B514" s="83" t="s">
        <v>622</v>
      </c>
      <c r="C514" s="126" t="s">
        <v>705</v>
      </c>
      <c r="D514" s="3"/>
      <c r="E514" s="3"/>
      <c r="F514" s="10"/>
      <c r="G514" s="10"/>
      <c r="H514" s="10"/>
      <c r="I514" s="41" t="s">
        <v>573</v>
      </c>
      <c r="J514" s="1141">
        <f>J513</f>
        <v>19700</v>
      </c>
      <c r="K514" s="1395">
        <f>'[1]диагн.'!$G$776</f>
        <v>0.30000000000000004</v>
      </c>
      <c r="L514" s="1324">
        <f>SUM(J514:K514)</f>
        <v>19700.3</v>
      </c>
      <c r="M514" s="1462">
        <f>M513</f>
        <v>1.97</v>
      </c>
      <c r="N514" s="1475">
        <f>N513</f>
        <v>0.30000000000000004</v>
      </c>
      <c r="O514" s="1440">
        <f>SUM(M514:N514)</f>
        <v>2.27</v>
      </c>
      <c r="P514" s="22"/>
      <c r="Q514" s="6"/>
      <c r="R514" s="2514">
        <f t="shared" si="56"/>
        <v>5290</v>
      </c>
      <c r="S514" s="2509"/>
      <c r="T514" s="2517">
        <v>4600</v>
      </c>
      <c r="U514" s="2517"/>
      <c r="V514" s="2517"/>
      <c r="W514" s="2523">
        <f t="shared" si="57"/>
        <v>19680</v>
      </c>
      <c r="X514" s="2538">
        <f>X513</f>
        <v>16400</v>
      </c>
      <c r="Y514" s="2509"/>
      <c r="Z514" s="2509"/>
    </row>
    <row r="515" spans="1:26" s="19" customFormat="1" ht="18.75">
      <c r="A515" s="11">
        <v>26</v>
      </c>
      <c r="B515" s="67"/>
      <c r="C515" s="1546" t="s">
        <v>750</v>
      </c>
      <c r="D515" s="3"/>
      <c r="E515" s="3"/>
      <c r="F515" s="10"/>
      <c r="G515" s="10"/>
      <c r="H515" s="10"/>
      <c r="I515" s="41"/>
      <c r="J515" s="1141"/>
      <c r="K515" s="1385"/>
      <c r="L515" s="1324"/>
      <c r="M515" s="1462"/>
      <c r="N515" s="1476"/>
      <c r="O515" s="1440"/>
      <c r="P515" s="22"/>
      <c r="Q515" s="6"/>
      <c r="R515" s="2514"/>
      <c r="S515" s="2509"/>
      <c r="T515" s="2517"/>
      <c r="U515" s="2517"/>
      <c r="V515" s="2517"/>
      <c r="W515" s="2523">
        <f t="shared" si="57"/>
        <v>0</v>
      </c>
      <c r="X515" s="2538"/>
      <c r="Y515" s="2509"/>
      <c r="Z515" s="2509"/>
    </row>
    <row r="516" spans="1:26" s="19" customFormat="1" ht="18.75">
      <c r="A516" s="11"/>
      <c r="B516" s="83" t="s">
        <v>622</v>
      </c>
      <c r="C516" s="126" t="s">
        <v>704</v>
      </c>
      <c r="D516" s="3"/>
      <c r="E516" s="3"/>
      <c r="F516" s="10"/>
      <c r="G516" s="10"/>
      <c r="H516" s="10"/>
      <c r="I516" s="41" t="s">
        <v>573</v>
      </c>
      <c r="J516" s="1141">
        <v>19700</v>
      </c>
      <c r="K516" s="1385">
        <f>'[1]диагн.'!$G$782</f>
        <v>0.44000000000000006</v>
      </c>
      <c r="L516" s="1324">
        <f>SUM(J516:K516)</f>
        <v>19700.44</v>
      </c>
      <c r="M516" s="1462">
        <f>J516/10000</f>
        <v>1.97</v>
      </c>
      <c r="N516" s="1463">
        <f>K516</f>
        <v>0.44000000000000006</v>
      </c>
      <c r="O516" s="1440">
        <f>SUM(M516:N516)</f>
        <v>2.41</v>
      </c>
      <c r="P516" s="22"/>
      <c r="Q516" s="6"/>
      <c r="R516" s="2514">
        <f t="shared" si="56"/>
        <v>9487.5</v>
      </c>
      <c r="S516" s="2509"/>
      <c r="T516" s="2517">
        <v>8250</v>
      </c>
      <c r="U516" s="2517"/>
      <c r="V516" s="2517"/>
      <c r="W516" s="2523">
        <f t="shared" si="57"/>
        <v>19680</v>
      </c>
      <c r="X516" s="2538">
        <v>16400</v>
      </c>
      <c r="Y516" s="2509"/>
      <c r="Z516" s="2509"/>
    </row>
    <row r="517" spans="1:26" s="19" customFormat="1" ht="18.75">
      <c r="A517" s="11"/>
      <c r="B517" s="83" t="s">
        <v>622</v>
      </c>
      <c r="C517" s="126" t="s">
        <v>705</v>
      </c>
      <c r="D517" s="3"/>
      <c r="E517" s="3"/>
      <c r="F517" s="10"/>
      <c r="G517" s="10"/>
      <c r="H517" s="10"/>
      <c r="I517" s="41" t="s">
        <v>573</v>
      </c>
      <c r="J517" s="1141">
        <f>J516</f>
        <v>19700</v>
      </c>
      <c r="K517" s="1385">
        <f>'[1]диагн.'!$G$782</f>
        <v>0.44000000000000006</v>
      </c>
      <c r="L517" s="1324">
        <f>SUM(J517:K517)</f>
        <v>19700.44</v>
      </c>
      <c r="M517" s="1462">
        <f>M516</f>
        <v>1.97</v>
      </c>
      <c r="N517" s="1475">
        <f>N516</f>
        <v>0.44000000000000006</v>
      </c>
      <c r="O517" s="1440">
        <f>SUM(M517:N517)</f>
        <v>2.41</v>
      </c>
      <c r="P517" s="22"/>
      <c r="Q517" s="6"/>
      <c r="R517" s="2514">
        <f t="shared" si="56"/>
        <v>5290</v>
      </c>
      <c r="S517" s="2509"/>
      <c r="T517" s="2517">
        <v>4600</v>
      </c>
      <c r="U517" s="2517"/>
      <c r="V517" s="2517"/>
      <c r="W517" s="2523">
        <f t="shared" si="57"/>
        <v>19680</v>
      </c>
      <c r="X517" s="2538">
        <f>X516</f>
        <v>16400</v>
      </c>
      <c r="Y517" s="2509"/>
      <c r="Z517" s="2509"/>
    </row>
    <row r="518" spans="1:26" s="19" customFormat="1" ht="18.75">
      <c r="A518" s="11">
        <v>27</v>
      </c>
      <c r="B518" s="67"/>
      <c r="C518" s="1546" t="s">
        <v>751</v>
      </c>
      <c r="D518" s="3"/>
      <c r="E518" s="3"/>
      <c r="F518" s="10"/>
      <c r="G518" s="10"/>
      <c r="H518" s="10"/>
      <c r="I518" s="41"/>
      <c r="J518" s="1141"/>
      <c r="K518" s="1385"/>
      <c r="L518" s="1324"/>
      <c r="M518" s="1462"/>
      <c r="N518" s="1476"/>
      <c r="O518" s="1440"/>
      <c r="P518" s="22"/>
      <c r="Q518" s="6"/>
      <c r="R518" s="2514"/>
      <c r="S518" s="2509"/>
      <c r="T518" s="2517"/>
      <c r="U518" s="2518"/>
      <c r="V518" s="2518"/>
      <c r="W518" s="2523">
        <f t="shared" si="57"/>
        <v>0</v>
      </c>
      <c r="X518" s="2538"/>
      <c r="Y518" s="2509"/>
      <c r="Z518" s="2509"/>
    </row>
    <row r="519" spans="1:26" s="19" customFormat="1" ht="18.75">
      <c r="A519" s="11"/>
      <c r="B519" s="83" t="s">
        <v>622</v>
      </c>
      <c r="C519" s="126" t="s">
        <v>704</v>
      </c>
      <c r="D519" s="3"/>
      <c r="E519" s="3"/>
      <c r="F519" s="10"/>
      <c r="G519" s="10"/>
      <c r="H519" s="10"/>
      <c r="I519" s="41" t="s">
        <v>573</v>
      </c>
      <c r="J519" s="1141">
        <v>19700</v>
      </c>
      <c r="K519" s="1385">
        <f>'[1]диагн.'!$G$788</f>
        <v>0.30000000000000004</v>
      </c>
      <c r="L519" s="1324">
        <f>SUM(J519:K519)</f>
        <v>19700.3</v>
      </c>
      <c r="M519" s="1462">
        <f>J519/10000</f>
        <v>1.97</v>
      </c>
      <c r="N519" s="1463">
        <f>K519</f>
        <v>0.30000000000000004</v>
      </c>
      <c r="O519" s="1440">
        <f>SUM(M519:N519)</f>
        <v>2.27</v>
      </c>
      <c r="P519" s="22"/>
      <c r="Q519" s="6"/>
      <c r="R519" s="2514">
        <f t="shared" si="56"/>
        <v>9487.5</v>
      </c>
      <c r="S519" s="2509"/>
      <c r="T519" s="2517">
        <v>8250</v>
      </c>
      <c r="U519" s="2518"/>
      <c r="V519" s="2518"/>
      <c r="W519" s="2523">
        <f t="shared" si="57"/>
        <v>19680</v>
      </c>
      <c r="X519" s="2538">
        <v>16400</v>
      </c>
      <c r="Y519" s="2509"/>
      <c r="Z519" s="2509"/>
    </row>
    <row r="520" spans="1:26" s="19" customFormat="1" ht="18.75">
      <c r="A520" s="11"/>
      <c r="B520" s="83" t="s">
        <v>622</v>
      </c>
      <c r="C520" s="126" t="s">
        <v>705</v>
      </c>
      <c r="D520" s="3"/>
      <c r="E520" s="3"/>
      <c r="F520" s="10"/>
      <c r="G520" s="10"/>
      <c r="H520" s="10"/>
      <c r="I520" s="41" t="s">
        <v>573</v>
      </c>
      <c r="J520" s="1141">
        <f>J519</f>
        <v>19700</v>
      </c>
      <c r="K520" s="1385">
        <f>'[1]диагн.'!$G$788</f>
        <v>0.30000000000000004</v>
      </c>
      <c r="L520" s="1324">
        <f>SUM(J520:K520)</f>
        <v>19700.3</v>
      </c>
      <c r="M520" s="1462">
        <f>M519</f>
        <v>1.97</v>
      </c>
      <c r="N520" s="1475">
        <f>N519</f>
        <v>0.30000000000000004</v>
      </c>
      <c r="O520" s="1440">
        <f>SUM(M520:N520)</f>
        <v>2.27</v>
      </c>
      <c r="P520" s="22"/>
      <c r="Q520" s="6"/>
      <c r="R520" s="2514">
        <f t="shared" si="56"/>
        <v>5290</v>
      </c>
      <c r="S520" s="2509"/>
      <c r="T520" s="2517">
        <v>4600</v>
      </c>
      <c r="U520" s="2518"/>
      <c r="V520" s="2518"/>
      <c r="W520" s="2523">
        <f t="shared" si="57"/>
        <v>19680</v>
      </c>
      <c r="X520" s="2538">
        <f>X519</f>
        <v>16400</v>
      </c>
      <c r="Y520" s="2509"/>
      <c r="Z520" s="2509"/>
    </row>
    <row r="521" spans="1:26" s="19" customFormat="1" ht="18.75">
      <c r="A521" s="11"/>
      <c r="B521" s="67"/>
      <c r="C521" s="1547" t="s">
        <v>752</v>
      </c>
      <c r="D521" s="3"/>
      <c r="E521" s="3"/>
      <c r="F521" s="2"/>
      <c r="G521" s="2"/>
      <c r="H521" s="2"/>
      <c r="I521" s="41"/>
      <c r="J521" s="1141"/>
      <c r="K521" s="1385"/>
      <c r="L521" s="1324"/>
      <c r="M521" s="1462"/>
      <c r="N521" s="1476"/>
      <c r="O521" s="1440"/>
      <c r="P521" s="22"/>
      <c r="Q521" s="6"/>
      <c r="R521" s="2514"/>
      <c r="S521" s="2509"/>
      <c r="T521" s="2517"/>
      <c r="U521" s="2517"/>
      <c r="V521" s="2517"/>
      <c r="W521" s="2523">
        <f t="shared" si="57"/>
        <v>0</v>
      </c>
      <c r="X521" s="2538"/>
      <c r="Y521" s="2509"/>
      <c r="Z521" s="2509"/>
    </row>
    <row r="522" spans="1:26" s="19" customFormat="1" ht="18.75">
      <c r="A522" s="11">
        <v>28</v>
      </c>
      <c r="B522" s="67"/>
      <c r="C522" s="1546" t="s">
        <v>753</v>
      </c>
      <c r="D522" s="3"/>
      <c r="E522" s="3"/>
      <c r="F522" s="10"/>
      <c r="G522" s="10"/>
      <c r="H522" s="10"/>
      <c r="I522" s="41"/>
      <c r="J522" s="1141"/>
      <c r="K522" s="1385"/>
      <c r="L522" s="1324"/>
      <c r="M522" s="1462"/>
      <c r="N522" s="1476"/>
      <c r="O522" s="1440"/>
      <c r="P522" s="22"/>
      <c r="Q522" s="6"/>
      <c r="R522" s="2509"/>
      <c r="S522" s="2509"/>
      <c r="T522" s="2517"/>
      <c r="U522" s="2517"/>
      <c r="V522" s="2517"/>
      <c r="W522" s="2523">
        <f t="shared" si="57"/>
        <v>0</v>
      </c>
      <c r="X522" s="2538"/>
      <c r="Y522" s="2509"/>
      <c r="Z522" s="2509"/>
    </row>
    <row r="523" spans="1:26" s="19" customFormat="1" ht="18.75">
      <c r="A523" s="11"/>
      <c r="B523" s="83" t="s">
        <v>622</v>
      </c>
      <c r="C523" s="126" t="s">
        <v>704</v>
      </c>
      <c r="D523" s="3"/>
      <c r="E523" s="3"/>
      <c r="F523" s="10"/>
      <c r="G523" s="10"/>
      <c r="H523" s="10"/>
      <c r="I523" s="41" t="s">
        <v>573</v>
      </c>
      <c r="J523" s="1141">
        <v>88700</v>
      </c>
      <c r="K523" s="1385">
        <f>'[1]диагн.'!$G$795</f>
        <v>0.44000000000000006</v>
      </c>
      <c r="L523" s="1324">
        <f>SUM(J523:K523)</f>
        <v>88700.44</v>
      </c>
      <c r="M523" s="1462">
        <f>J523/10000</f>
        <v>8.87</v>
      </c>
      <c r="N523" s="1463">
        <f>K523</f>
        <v>0.44000000000000006</v>
      </c>
      <c r="O523" s="1440">
        <f>SUM(M523:N523)</f>
        <v>9.309999999999999</v>
      </c>
      <c r="P523" s="22"/>
      <c r="Q523" s="689">
        <f>L523-39100</f>
        <v>49600.44</v>
      </c>
      <c r="R523" s="2514">
        <f t="shared" si="56"/>
        <v>42780</v>
      </c>
      <c r="S523" s="2509"/>
      <c r="T523" s="2517">
        <v>37200</v>
      </c>
      <c r="U523" s="2517"/>
      <c r="V523" s="2517"/>
      <c r="W523" s="2523">
        <f t="shared" si="57"/>
        <v>88680</v>
      </c>
      <c r="X523" s="2538">
        <v>73900</v>
      </c>
      <c r="Y523" s="2509"/>
      <c r="Z523" s="2509"/>
    </row>
    <row r="524" spans="1:26" s="19" customFormat="1" ht="18.75">
      <c r="A524" s="11">
        <v>29</v>
      </c>
      <c r="B524" s="67"/>
      <c r="C524" s="1546" t="s">
        <v>754</v>
      </c>
      <c r="D524" s="3"/>
      <c r="E524" s="3"/>
      <c r="F524" s="10"/>
      <c r="G524" s="10"/>
      <c r="H524" s="10"/>
      <c r="I524" s="41"/>
      <c r="J524" s="1141"/>
      <c r="K524" s="1385"/>
      <c r="L524" s="1324"/>
      <c r="M524" s="1462"/>
      <c r="N524" s="1476"/>
      <c r="O524" s="1440"/>
      <c r="P524" s="22"/>
      <c r="Q524" s="6"/>
      <c r="R524" s="2509"/>
      <c r="S524" s="2509"/>
      <c r="T524" s="2517"/>
      <c r="U524" s="2517"/>
      <c r="V524" s="2517"/>
      <c r="W524" s="2523">
        <f t="shared" si="57"/>
        <v>0</v>
      </c>
      <c r="X524" s="2538"/>
      <c r="Y524" s="2509"/>
      <c r="Z524" s="2509"/>
    </row>
    <row r="525" spans="1:26" s="19" customFormat="1" ht="18.75">
      <c r="A525" s="11"/>
      <c r="B525" s="83" t="s">
        <v>622</v>
      </c>
      <c r="C525" s="126" t="s">
        <v>704</v>
      </c>
      <c r="D525" s="3"/>
      <c r="E525" s="3"/>
      <c r="F525" s="10"/>
      <c r="G525" s="10"/>
      <c r="H525" s="10"/>
      <c r="I525" s="41" t="s">
        <v>573</v>
      </c>
      <c r="J525" s="1141">
        <v>49300</v>
      </c>
      <c r="K525" s="1385">
        <f>'[1]диагн.'!$G$801</f>
        <v>0.30000000000000004</v>
      </c>
      <c r="L525" s="1324">
        <f>SUM(J525:K525)</f>
        <v>49300.3</v>
      </c>
      <c r="M525" s="1462">
        <f>J525/10000</f>
        <v>4.93</v>
      </c>
      <c r="N525" s="1463">
        <f>K525</f>
        <v>0.30000000000000004</v>
      </c>
      <c r="O525" s="1440">
        <f>SUM(M525:N525)</f>
        <v>5.2299999999999995</v>
      </c>
      <c r="P525" s="22"/>
      <c r="Q525" s="6"/>
      <c r="R525" s="2514">
        <f t="shared" si="56"/>
        <v>23804.999999999996</v>
      </c>
      <c r="S525" s="2509"/>
      <c r="T525" s="2517">
        <v>20700</v>
      </c>
      <c r="U525" s="2517"/>
      <c r="V525" s="2517"/>
      <c r="W525" s="2523">
        <f t="shared" si="57"/>
        <v>49320</v>
      </c>
      <c r="X525" s="2538">
        <v>41100</v>
      </c>
      <c r="Y525" s="2509"/>
      <c r="Z525" s="2509"/>
    </row>
    <row r="526" spans="1:26" s="19" customFormat="1" ht="18.75">
      <c r="A526" s="11">
        <v>30</v>
      </c>
      <c r="B526" s="67"/>
      <c r="C526" s="1546" t="s">
        <v>755</v>
      </c>
      <c r="D526" s="3"/>
      <c r="E526" s="3"/>
      <c r="F526" s="10"/>
      <c r="G526" s="10"/>
      <c r="H526" s="10"/>
      <c r="I526" s="41"/>
      <c r="J526" s="1141"/>
      <c r="K526" s="1385"/>
      <c r="L526" s="1324"/>
      <c r="M526" s="1462"/>
      <c r="N526" s="1476"/>
      <c r="O526" s="1440"/>
      <c r="P526" s="22"/>
      <c r="Q526" s="6"/>
      <c r="R526" s="2509"/>
      <c r="S526" s="2509"/>
      <c r="T526" s="2517"/>
      <c r="U526" s="2517"/>
      <c r="V526" s="2517"/>
      <c r="W526" s="2523">
        <f t="shared" si="57"/>
        <v>0</v>
      </c>
      <c r="X526" s="2538"/>
      <c r="Y526" s="2509"/>
      <c r="Z526" s="2509"/>
    </row>
    <row r="527" spans="1:26" s="19" customFormat="1" ht="18.75">
      <c r="A527" s="11"/>
      <c r="B527" s="83" t="s">
        <v>622</v>
      </c>
      <c r="C527" s="126" t="s">
        <v>704</v>
      </c>
      <c r="D527" s="3"/>
      <c r="E527" s="3"/>
      <c r="F527" s="10"/>
      <c r="G527" s="10"/>
      <c r="H527" s="10"/>
      <c r="I527" s="41" t="s">
        <v>573</v>
      </c>
      <c r="J527" s="1141">
        <v>59200</v>
      </c>
      <c r="K527" s="1385">
        <f>'[1]диагн.'!$G$807</f>
        <v>0.30000000000000004</v>
      </c>
      <c r="L527" s="1324">
        <f>SUM(J527:K527)</f>
        <v>59200.3</v>
      </c>
      <c r="M527" s="1462">
        <f>J527/10000</f>
        <v>5.92</v>
      </c>
      <c r="N527" s="1463">
        <f>K527</f>
        <v>0.30000000000000004</v>
      </c>
      <c r="O527" s="1440">
        <f>SUM(M527:N527)</f>
        <v>6.22</v>
      </c>
      <c r="P527" s="22"/>
      <c r="Q527" s="6"/>
      <c r="R527" s="2514">
        <f>T527*1.15</f>
        <v>28519.999999999996</v>
      </c>
      <c r="S527" s="2509"/>
      <c r="T527" s="2517">
        <v>24800</v>
      </c>
      <c r="U527" s="2517"/>
      <c r="V527" s="2517"/>
      <c r="W527" s="2523">
        <f t="shared" si="57"/>
        <v>59160</v>
      </c>
      <c r="X527" s="2538">
        <v>49300</v>
      </c>
      <c r="Y527" s="2509"/>
      <c r="Z527" s="2509"/>
    </row>
    <row r="528" spans="1:26" s="19" customFormat="1" ht="18.75">
      <c r="A528" s="11"/>
      <c r="B528" s="83" t="s">
        <v>622</v>
      </c>
      <c r="C528" s="126" t="s">
        <v>705</v>
      </c>
      <c r="D528" s="3"/>
      <c r="E528" s="3"/>
      <c r="F528" s="10"/>
      <c r="G528" s="10"/>
      <c r="H528" s="10"/>
      <c r="I528" s="41" t="s">
        <v>573</v>
      </c>
      <c r="J528" s="1141">
        <f>J527</f>
        <v>59200</v>
      </c>
      <c r="K528" s="1385">
        <f>'[1]диагн.'!$G$807</f>
        <v>0.30000000000000004</v>
      </c>
      <c r="L528" s="1324">
        <f>SUM(J528:K528)</f>
        <v>59200.3</v>
      </c>
      <c r="M528" s="1462">
        <f>M527</f>
        <v>5.92</v>
      </c>
      <c r="N528" s="1475">
        <f>N527</f>
        <v>0.30000000000000004</v>
      </c>
      <c r="O528" s="1440">
        <f>SUM(M528:N528)</f>
        <v>6.22</v>
      </c>
      <c r="P528" s="22"/>
      <c r="Q528" s="6"/>
      <c r="R528" s="2514">
        <f>T528*1.15</f>
        <v>15869.999999999998</v>
      </c>
      <c r="S528" s="2509"/>
      <c r="T528" s="2517">
        <v>13800</v>
      </c>
      <c r="U528" s="2517"/>
      <c r="V528" s="2517"/>
      <c r="W528" s="2523">
        <f t="shared" si="57"/>
        <v>59160</v>
      </c>
      <c r="X528" s="2538">
        <f>X527</f>
        <v>49300</v>
      </c>
      <c r="Y528" s="2509"/>
      <c r="Z528" s="2509"/>
    </row>
    <row r="529" spans="1:26" s="19" customFormat="1" ht="18.75">
      <c r="A529" s="11">
        <v>31</v>
      </c>
      <c r="B529" s="67"/>
      <c r="C529" s="1546" t="s">
        <v>756</v>
      </c>
      <c r="D529" s="3"/>
      <c r="E529" s="3"/>
      <c r="F529" s="10"/>
      <c r="G529" s="10"/>
      <c r="H529" s="10"/>
      <c r="I529" s="41"/>
      <c r="J529" s="1141"/>
      <c r="K529" s="1385"/>
      <c r="L529" s="1324"/>
      <c r="M529" s="1462"/>
      <c r="N529" s="1476"/>
      <c r="O529" s="1440"/>
      <c r="P529" s="22"/>
      <c r="Q529" s="6"/>
      <c r="R529" s="2514"/>
      <c r="S529" s="2509"/>
      <c r="T529" s="2517"/>
      <c r="U529" s="2517"/>
      <c r="V529" s="2517"/>
      <c r="W529" s="2523">
        <f t="shared" si="57"/>
        <v>0</v>
      </c>
      <c r="X529" s="2538"/>
      <c r="Y529" s="2509"/>
      <c r="Z529" s="2509"/>
    </row>
    <row r="530" spans="1:26" s="19" customFormat="1" ht="18.75">
      <c r="A530" s="11"/>
      <c r="B530" s="83" t="s">
        <v>622</v>
      </c>
      <c r="C530" s="126" t="s">
        <v>705</v>
      </c>
      <c r="D530" s="3"/>
      <c r="E530" s="3"/>
      <c r="F530" s="2"/>
      <c r="G530" s="2"/>
      <c r="H530" s="2"/>
      <c r="I530" s="41" t="s">
        <v>573</v>
      </c>
      <c r="J530" s="1141">
        <v>59200</v>
      </c>
      <c r="K530" s="1385">
        <f>'[1]диагн.'!$G$813</f>
        <v>0.30000000000000004</v>
      </c>
      <c r="L530" s="1324">
        <f>SUM(J530:K530)</f>
        <v>59200.3</v>
      </c>
      <c r="M530" s="1462">
        <f>J530/10000</f>
        <v>5.92</v>
      </c>
      <c r="N530" s="1463">
        <f>K530</f>
        <v>0.30000000000000004</v>
      </c>
      <c r="O530" s="1440">
        <f>SUM(M530:N530)</f>
        <v>6.22</v>
      </c>
      <c r="P530" s="22"/>
      <c r="Q530" s="6"/>
      <c r="R530" s="2514">
        <f>T530*1.15</f>
        <v>15869.999999999998</v>
      </c>
      <c r="S530" s="2509"/>
      <c r="T530" s="2517">
        <v>13800</v>
      </c>
      <c r="U530" s="2517"/>
      <c r="V530" s="2517"/>
      <c r="W530" s="2523">
        <f t="shared" si="57"/>
        <v>59160</v>
      </c>
      <c r="X530" s="2538">
        <v>49300</v>
      </c>
      <c r="Y530" s="2509"/>
      <c r="Z530" s="2509"/>
    </row>
    <row r="531" spans="1:26" s="19" customFormat="1" ht="18.75">
      <c r="A531" s="11">
        <v>32</v>
      </c>
      <c r="B531" s="67"/>
      <c r="C531" s="1546" t="s">
        <v>757</v>
      </c>
      <c r="D531" s="3"/>
      <c r="E531" s="3"/>
      <c r="F531" s="10"/>
      <c r="G531" s="10"/>
      <c r="H531" s="10"/>
      <c r="I531" s="41"/>
      <c r="J531" s="1141"/>
      <c r="K531" s="1385"/>
      <c r="L531" s="1324"/>
      <c r="M531" s="1462"/>
      <c r="N531" s="1476"/>
      <c r="O531" s="1440"/>
      <c r="P531" s="22"/>
      <c r="Q531" s="6"/>
      <c r="R531" s="2509"/>
      <c r="S531" s="2509"/>
      <c r="T531" s="2517"/>
      <c r="U531" s="2517"/>
      <c r="V531" s="2517"/>
      <c r="W531" s="2523">
        <f t="shared" si="57"/>
        <v>0</v>
      </c>
      <c r="X531" s="2538"/>
      <c r="Y531" s="2509"/>
      <c r="Z531" s="2509"/>
    </row>
    <row r="532" spans="1:26" s="19" customFormat="1" ht="18.75">
      <c r="A532" s="11"/>
      <c r="B532" s="83" t="s">
        <v>622</v>
      </c>
      <c r="C532" s="126" t="s">
        <v>704</v>
      </c>
      <c r="D532" s="3"/>
      <c r="E532" s="3"/>
      <c r="F532" s="2"/>
      <c r="G532" s="2"/>
      <c r="H532" s="2"/>
      <c r="I532" s="41" t="s">
        <v>573</v>
      </c>
      <c r="J532" s="1141">
        <v>88700</v>
      </c>
      <c r="K532" s="1385">
        <f>'[1]диагн.'!$G$819</f>
        <v>0.37</v>
      </c>
      <c r="L532" s="1324">
        <f>SUM(J532:K532)</f>
        <v>88700.37</v>
      </c>
      <c r="M532" s="1462">
        <f>J532/10000</f>
        <v>8.87</v>
      </c>
      <c r="N532" s="1463">
        <f>K532</f>
        <v>0.37</v>
      </c>
      <c r="O532" s="1440">
        <f>SUM(M532:N532)</f>
        <v>9.239999999999998</v>
      </c>
      <c r="P532" s="22"/>
      <c r="Q532" s="689">
        <f>L532-38800</f>
        <v>49900.369999999995</v>
      </c>
      <c r="R532" s="2514">
        <f>T532*1.15</f>
        <v>42780</v>
      </c>
      <c r="S532" s="2509"/>
      <c r="T532" s="2517">
        <v>37200</v>
      </c>
      <c r="U532" s="2517"/>
      <c r="V532" s="2517"/>
      <c r="W532" s="2523">
        <f t="shared" si="57"/>
        <v>88680</v>
      </c>
      <c r="X532" s="2538">
        <v>73900</v>
      </c>
      <c r="Y532" s="2509"/>
      <c r="Z532" s="2509"/>
    </row>
    <row r="533" spans="1:26" s="19" customFormat="1" ht="18.75">
      <c r="A533" s="11">
        <v>33</v>
      </c>
      <c r="B533" s="67"/>
      <c r="C533" s="2219" t="s">
        <v>758</v>
      </c>
      <c r="D533" s="2219"/>
      <c r="E533" s="2219"/>
      <c r="F533" s="2219"/>
      <c r="G533" s="2219"/>
      <c r="H533" s="2219"/>
      <c r="I533" s="41"/>
      <c r="J533" s="1141"/>
      <c r="K533" s="1385"/>
      <c r="L533" s="1324"/>
      <c r="M533" s="1462"/>
      <c r="N533" s="1476"/>
      <c r="O533" s="1440"/>
      <c r="P533" s="22"/>
      <c r="Q533" s="6"/>
      <c r="R533" s="2509"/>
      <c r="S533" s="2509"/>
      <c r="T533" s="2517"/>
      <c r="U533" s="2517"/>
      <c r="V533" s="2517"/>
      <c r="W533" s="2523">
        <f t="shared" si="57"/>
        <v>0</v>
      </c>
      <c r="X533" s="2538"/>
      <c r="Y533" s="2509"/>
      <c r="Z533" s="2509"/>
    </row>
    <row r="534" spans="1:26" s="19" customFormat="1" ht="18.75">
      <c r="A534" s="11"/>
      <c r="B534" s="67"/>
      <c r="C534" s="2219"/>
      <c r="D534" s="2219"/>
      <c r="E534" s="2219"/>
      <c r="F534" s="2219"/>
      <c r="G534" s="2219"/>
      <c r="H534" s="2219"/>
      <c r="I534" s="41"/>
      <c r="J534" s="1141"/>
      <c r="K534" s="1385"/>
      <c r="L534" s="1324"/>
      <c r="M534" s="1462"/>
      <c r="N534" s="1476"/>
      <c r="O534" s="1440"/>
      <c r="P534" s="22"/>
      <c r="Q534" s="6"/>
      <c r="R534" s="2509"/>
      <c r="S534" s="2509"/>
      <c r="T534" s="2517"/>
      <c r="U534" s="2517"/>
      <c r="V534" s="2517"/>
      <c r="W534" s="2523">
        <f t="shared" si="57"/>
        <v>0</v>
      </c>
      <c r="X534" s="2538"/>
      <c r="Y534" s="2509"/>
      <c r="Z534" s="2509"/>
    </row>
    <row r="535" spans="1:26" s="19" customFormat="1" ht="18.75">
      <c r="A535" s="11"/>
      <c r="B535" s="67"/>
      <c r="C535" s="2219"/>
      <c r="D535" s="2219"/>
      <c r="E535" s="2219"/>
      <c r="F535" s="2219"/>
      <c r="G535" s="2219"/>
      <c r="H535" s="2219"/>
      <c r="I535" s="41"/>
      <c r="J535" s="1141"/>
      <c r="K535" s="1385"/>
      <c r="L535" s="1324"/>
      <c r="M535" s="1462"/>
      <c r="N535" s="1476"/>
      <c r="O535" s="1440"/>
      <c r="P535" s="22"/>
      <c r="Q535" s="6"/>
      <c r="R535" s="2509"/>
      <c r="S535" s="2509"/>
      <c r="T535" s="2517"/>
      <c r="U535" s="2509"/>
      <c r="V535" s="2509"/>
      <c r="W535" s="2523">
        <f t="shared" si="57"/>
        <v>0</v>
      </c>
      <c r="X535" s="2538"/>
      <c r="Y535" s="2509"/>
      <c r="Z535" s="2509"/>
    </row>
    <row r="536" spans="1:26" s="19" customFormat="1" ht="18.75">
      <c r="A536" s="11"/>
      <c r="B536" s="83" t="s">
        <v>622</v>
      </c>
      <c r="C536" s="126" t="s">
        <v>704</v>
      </c>
      <c r="D536" s="126"/>
      <c r="E536" s="126"/>
      <c r="F536" s="126"/>
      <c r="G536" s="126"/>
      <c r="H536" s="126"/>
      <c r="I536" s="41" t="s">
        <v>573</v>
      </c>
      <c r="J536" s="1141">
        <v>59200</v>
      </c>
      <c r="K536" s="1385">
        <f>'[1]диагн.'!$G$825</f>
        <v>0.44000000000000006</v>
      </c>
      <c r="L536" s="1324">
        <f>SUM(J536:K536)</f>
        <v>59200.44</v>
      </c>
      <c r="M536" s="1462">
        <f>J536/10000</f>
        <v>5.92</v>
      </c>
      <c r="N536" s="1463">
        <f>K536</f>
        <v>0.44000000000000006</v>
      </c>
      <c r="O536" s="1440">
        <f>SUM(M536:N536)</f>
        <v>6.36</v>
      </c>
      <c r="P536" s="22"/>
      <c r="Q536" s="6"/>
      <c r="R536" s="2514">
        <f>T536*1.15</f>
        <v>40997.5</v>
      </c>
      <c r="S536" s="2509"/>
      <c r="T536" s="2517">
        <v>35650</v>
      </c>
      <c r="U536" s="2509"/>
      <c r="V536" s="2509"/>
      <c r="W536" s="2523">
        <f t="shared" si="57"/>
        <v>59160</v>
      </c>
      <c r="X536" s="2538">
        <v>49300</v>
      </c>
      <c r="Y536" s="2509"/>
      <c r="Z536" s="2509"/>
    </row>
    <row r="537" spans="1:26" s="19" customFormat="1" ht="18.75">
      <c r="A537" s="11">
        <v>34</v>
      </c>
      <c r="B537" s="67"/>
      <c r="C537" s="2219" t="s">
        <v>759</v>
      </c>
      <c r="D537" s="2219"/>
      <c r="E537" s="2219"/>
      <c r="F537" s="2219"/>
      <c r="G537" s="2219"/>
      <c r="H537" s="2219"/>
      <c r="I537" s="41"/>
      <c r="J537" s="1141"/>
      <c r="K537" s="1385"/>
      <c r="L537" s="1324"/>
      <c r="M537" s="1462"/>
      <c r="N537" s="1476"/>
      <c r="O537" s="1440"/>
      <c r="P537" s="22"/>
      <c r="Q537" s="6"/>
      <c r="R537" s="2509"/>
      <c r="S537" s="2509"/>
      <c r="T537" s="2517"/>
      <c r="U537" s="2509"/>
      <c r="V537" s="2509"/>
      <c r="W537" s="2523">
        <f t="shared" si="57"/>
        <v>0</v>
      </c>
      <c r="X537" s="2538"/>
      <c r="Y537" s="2509"/>
      <c r="Z537" s="2509"/>
    </row>
    <row r="538" spans="1:26" s="19" customFormat="1" ht="18.75">
      <c r="A538" s="11"/>
      <c r="B538" s="67"/>
      <c r="C538" s="2219"/>
      <c r="D538" s="2219"/>
      <c r="E538" s="2219"/>
      <c r="F538" s="2219"/>
      <c r="G538" s="2219"/>
      <c r="H538" s="2219"/>
      <c r="I538" s="41"/>
      <c r="J538" s="1141"/>
      <c r="K538" s="1385"/>
      <c r="L538" s="1324"/>
      <c r="M538" s="1462"/>
      <c r="N538" s="1476"/>
      <c r="O538" s="1440"/>
      <c r="P538" s="22"/>
      <c r="Q538" s="6"/>
      <c r="R538" s="2509"/>
      <c r="S538" s="2509"/>
      <c r="T538" s="2517"/>
      <c r="U538" s="2509"/>
      <c r="V538" s="2509"/>
      <c r="W538" s="2523">
        <f t="shared" si="57"/>
        <v>0</v>
      </c>
      <c r="X538" s="2538"/>
      <c r="Y538" s="2509"/>
      <c r="Z538" s="2509"/>
    </row>
    <row r="539" spans="1:26" s="19" customFormat="1" ht="18.75">
      <c r="A539" s="11"/>
      <c r="B539" s="67"/>
      <c r="C539" s="2219"/>
      <c r="D539" s="2219"/>
      <c r="E539" s="2219"/>
      <c r="F539" s="2219"/>
      <c r="G539" s="2219"/>
      <c r="H539" s="2219"/>
      <c r="I539" s="41"/>
      <c r="J539" s="1141"/>
      <c r="K539" s="1385"/>
      <c r="L539" s="1324"/>
      <c r="M539" s="1462"/>
      <c r="N539" s="1476"/>
      <c r="O539" s="1440"/>
      <c r="P539" s="22"/>
      <c r="Q539" s="6"/>
      <c r="R539" s="2509"/>
      <c r="S539" s="2509"/>
      <c r="T539" s="2517"/>
      <c r="U539" s="2509"/>
      <c r="V539" s="2509"/>
      <c r="W539" s="2523">
        <f t="shared" si="57"/>
        <v>0</v>
      </c>
      <c r="X539" s="2538"/>
      <c r="Y539" s="2509"/>
      <c r="Z539" s="2509"/>
    </row>
    <row r="540" spans="1:26" s="19" customFormat="1" ht="18.75">
      <c r="A540" s="11"/>
      <c r="B540" s="83" t="s">
        <v>622</v>
      </c>
      <c r="C540" s="126" t="s">
        <v>704</v>
      </c>
      <c r="D540" s="126"/>
      <c r="E540" s="126"/>
      <c r="F540" s="126"/>
      <c r="G540" s="126"/>
      <c r="H540" s="126"/>
      <c r="I540" s="41" t="s">
        <v>573</v>
      </c>
      <c r="J540" s="1141">
        <v>59200</v>
      </c>
      <c r="K540" s="1385">
        <f>'[1]диагн.'!$G$831</f>
        <v>0.44000000000000006</v>
      </c>
      <c r="L540" s="1324">
        <f>SUM(J540:K540)</f>
        <v>59200.44</v>
      </c>
      <c r="M540" s="1462">
        <f>J540/10000</f>
        <v>5.92</v>
      </c>
      <c r="N540" s="1463">
        <f>K540</f>
        <v>0.44000000000000006</v>
      </c>
      <c r="O540" s="1440">
        <f>SUM(M540:N540)</f>
        <v>6.36</v>
      </c>
      <c r="P540" s="22"/>
      <c r="Q540" s="6"/>
      <c r="R540" s="2514">
        <f>T540*1.15</f>
        <v>40997.5</v>
      </c>
      <c r="S540" s="2509"/>
      <c r="T540" s="2517">
        <v>35650</v>
      </c>
      <c r="U540" s="2509"/>
      <c r="V540" s="2509"/>
      <c r="W540" s="2523">
        <f t="shared" si="57"/>
        <v>59160</v>
      </c>
      <c r="X540" s="2538">
        <v>49300</v>
      </c>
      <c r="Y540" s="2509"/>
      <c r="Z540" s="2509"/>
    </row>
    <row r="541" spans="1:26" s="19" customFormat="1" ht="18.75">
      <c r="A541" s="11">
        <v>35</v>
      </c>
      <c r="B541" s="67"/>
      <c r="C541" s="1546" t="s">
        <v>760</v>
      </c>
      <c r="D541" s="126"/>
      <c r="E541" s="126"/>
      <c r="F541" s="126"/>
      <c r="G541" s="126"/>
      <c r="H541" s="126"/>
      <c r="I541" s="41"/>
      <c r="J541" s="1141"/>
      <c r="K541" s="1385"/>
      <c r="L541" s="1324"/>
      <c r="M541" s="1462"/>
      <c r="N541" s="1476"/>
      <c r="O541" s="1440"/>
      <c r="P541" s="22"/>
      <c r="Q541" s="6"/>
      <c r="R541" s="2509"/>
      <c r="S541" s="2509"/>
      <c r="T541" s="2517"/>
      <c r="U541" s="2509"/>
      <c r="V541" s="2509"/>
      <c r="W541" s="2523">
        <f t="shared" si="57"/>
        <v>0</v>
      </c>
      <c r="X541" s="2538"/>
      <c r="Y541" s="2509"/>
      <c r="Z541" s="2509"/>
    </row>
    <row r="542" spans="1:26" s="19" customFormat="1" ht="18.75">
      <c r="A542" s="11"/>
      <c r="B542" s="83" t="s">
        <v>622</v>
      </c>
      <c r="C542" s="126" t="s">
        <v>705</v>
      </c>
      <c r="D542" s="126"/>
      <c r="E542" s="126"/>
      <c r="F542" s="126"/>
      <c r="G542" s="126"/>
      <c r="H542" s="126"/>
      <c r="I542" s="41" t="s">
        <v>573</v>
      </c>
      <c r="J542" s="1141">
        <v>39500</v>
      </c>
      <c r="K542" s="1385">
        <f>'[1]диагн.'!$G$837</f>
        <v>0.30000000000000004</v>
      </c>
      <c r="L542" s="1324">
        <f>SUM(J542:K542)</f>
        <v>39500.3</v>
      </c>
      <c r="M542" s="1462">
        <f>J542/10000</f>
        <v>3.95</v>
      </c>
      <c r="N542" s="1463">
        <f>K542</f>
        <v>0.30000000000000004</v>
      </c>
      <c r="O542" s="1440">
        <f>SUM(M542:N542)</f>
        <v>4.25</v>
      </c>
      <c r="P542" s="22"/>
      <c r="Q542" s="6"/>
      <c r="R542" s="2514">
        <f>T542*1.15</f>
        <v>12822.499999999998</v>
      </c>
      <c r="S542" s="2509"/>
      <c r="T542" s="2517">
        <v>11150</v>
      </c>
      <c r="U542" s="2509"/>
      <c r="V542" s="2509"/>
      <c r="W542" s="2523">
        <f t="shared" si="57"/>
        <v>39480</v>
      </c>
      <c r="X542" s="2538">
        <v>32900</v>
      </c>
      <c r="Y542" s="2509"/>
      <c r="Z542" s="2509"/>
    </row>
    <row r="543" spans="1:26" s="19" customFormat="1" ht="18.75">
      <c r="A543" s="11"/>
      <c r="B543" s="83"/>
      <c r="C543" s="17"/>
      <c r="D543" s="3"/>
      <c r="E543" s="3"/>
      <c r="F543" s="2"/>
      <c r="G543" s="2"/>
      <c r="H543" s="2"/>
      <c r="I543" s="41"/>
      <c r="J543" s="1141"/>
      <c r="K543" s="1385"/>
      <c r="L543" s="1324"/>
      <c r="M543" s="1462"/>
      <c r="N543" s="1476"/>
      <c r="O543" s="1440"/>
      <c r="P543" s="22"/>
      <c r="Q543" s="6"/>
      <c r="R543" s="2509"/>
      <c r="S543" s="2509"/>
      <c r="T543" s="2517"/>
      <c r="U543" s="2509"/>
      <c r="V543" s="2509"/>
      <c r="W543" s="2523">
        <f t="shared" si="57"/>
        <v>0</v>
      </c>
      <c r="X543" s="2538"/>
      <c r="Y543" s="2509"/>
      <c r="Z543" s="2509"/>
    </row>
    <row r="544" spans="1:26" s="19" customFormat="1" ht="18.75">
      <c r="A544" s="1011">
        <v>13</v>
      </c>
      <c r="B544" s="145" t="s">
        <v>109</v>
      </c>
      <c r="C544" s="101"/>
      <c r="D544" s="17"/>
      <c r="E544" s="17"/>
      <c r="F544" s="48"/>
      <c r="G544" s="48"/>
      <c r="H544" s="48"/>
      <c r="I544" s="611"/>
      <c r="J544" s="1141"/>
      <c r="K544" s="1386"/>
      <c r="L544" s="1324"/>
      <c r="M544" s="1462"/>
      <c r="N544" s="1463"/>
      <c r="O544" s="1440"/>
      <c r="P544" s="22"/>
      <c r="Q544" s="6"/>
      <c r="R544" s="2509"/>
      <c r="S544" s="2509"/>
      <c r="T544" s="2517"/>
      <c r="U544" s="2509"/>
      <c r="V544" s="2509"/>
      <c r="W544" s="2523">
        <f t="shared" si="57"/>
        <v>0</v>
      </c>
      <c r="X544" s="2538"/>
      <c r="Y544" s="2509"/>
      <c r="Z544" s="2509"/>
    </row>
    <row r="545" spans="1:26" s="19" customFormat="1" ht="18.75">
      <c r="A545" s="15"/>
      <c r="B545" s="1035"/>
      <c r="C545" s="631" t="s">
        <v>120</v>
      </c>
      <c r="D545" s="126"/>
      <c r="E545" s="126"/>
      <c r="F545" s="126"/>
      <c r="G545" s="126"/>
      <c r="H545" s="126"/>
      <c r="I545" s="611"/>
      <c r="J545" s="1141"/>
      <c r="K545" s="1386"/>
      <c r="L545" s="1324"/>
      <c r="M545" s="1462"/>
      <c r="N545" s="1463"/>
      <c r="O545" s="1440"/>
      <c r="P545" s="22"/>
      <c r="Q545" s="6"/>
      <c r="R545" s="2509"/>
      <c r="S545" s="2509"/>
      <c r="T545" s="2517"/>
      <c r="U545" s="2509"/>
      <c r="V545" s="2509"/>
      <c r="W545" s="2523">
        <f t="shared" si="57"/>
        <v>0</v>
      </c>
      <c r="X545" s="2538"/>
      <c r="Y545" s="2509"/>
      <c r="Z545" s="2509"/>
    </row>
    <row r="546" spans="1:26" s="19" customFormat="1" ht="18.75">
      <c r="A546" s="140">
        <v>1</v>
      </c>
      <c r="B546" s="75"/>
      <c r="C546" s="126" t="s">
        <v>110</v>
      </c>
      <c r="D546" s="126"/>
      <c r="E546" s="126"/>
      <c r="F546" s="126"/>
      <c r="G546" s="126"/>
      <c r="H546" s="1548"/>
      <c r="I546" s="41" t="s">
        <v>573</v>
      </c>
      <c r="J546" s="1183">
        <v>29900</v>
      </c>
      <c r="K546" s="1387">
        <f>'[1]диагн.'!$G$889</f>
        <v>0.5650000000000001</v>
      </c>
      <c r="L546" s="1342">
        <f aca="true" t="shared" si="58" ref="L546:L559">SUM(J546:K546)</f>
        <v>29900.565</v>
      </c>
      <c r="M546" s="1462">
        <f aca="true" t="shared" si="59" ref="M546:M551">J546/10000</f>
        <v>2.99</v>
      </c>
      <c r="N546" s="1463">
        <f aca="true" t="shared" si="60" ref="N546:N551">K546</f>
        <v>0.5650000000000001</v>
      </c>
      <c r="O546" s="1440">
        <f aca="true" t="shared" si="61" ref="O546:O551">SUM(M546:N546)</f>
        <v>3.555</v>
      </c>
      <c r="P546" s="22"/>
      <c r="Q546" s="6"/>
      <c r="R546" s="2514">
        <f aca="true" t="shared" si="62" ref="R546:R551">T546*1.15</f>
        <v>19492.5</v>
      </c>
      <c r="S546" s="2509"/>
      <c r="T546" s="2519">
        <v>16950</v>
      </c>
      <c r="U546" s="2509"/>
      <c r="V546" s="2509"/>
      <c r="W546" s="2523">
        <f t="shared" si="57"/>
        <v>29880</v>
      </c>
      <c r="X546" s="2541">
        <v>24900</v>
      </c>
      <c r="Y546" s="2509"/>
      <c r="Z546" s="2509"/>
    </row>
    <row r="547" spans="1:26" s="19" customFormat="1" ht="18.75">
      <c r="A547" s="140">
        <v>2</v>
      </c>
      <c r="B547" s="75"/>
      <c r="C547" s="2197" t="s">
        <v>111</v>
      </c>
      <c r="D547" s="2197"/>
      <c r="E547" s="2197"/>
      <c r="F547" s="2197"/>
      <c r="G547" s="2197"/>
      <c r="H547" s="2197"/>
      <c r="I547" s="497" t="s">
        <v>573</v>
      </c>
      <c r="J547" s="1183">
        <v>49600</v>
      </c>
      <c r="K547" s="1387">
        <f>'[1]диагн.'!$G$899</f>
        <v>0.549</v>
      </c>
      <c r="L547" s="1342">
        <f t="shared" si="58"/>
        <v>49600.549</v>
      </c>
      <c r="M547" s="1462">
        <f t="shared" si="59"/>
        <v>4.96</v>
      </c>
      <c r="N547" s="1463">
        <f t="shared" si="60"/>
        <v>0.549</v>
      </c>
      <c r="O547" s="1440">
        <f t="shared" si="61"/>
        <v>5.509</v>
      </c>
      <c r="P547" s="22"/>
      <c r="Q547" s="6"/>
      <c r="R547" s="2514">
        <f t="shared" si="62"/>
        <v>32372.499999999996</v>
      </c>
      <c r="S547" s="2509"/>
      <c r="T547" s="2519">
        <v>28150</v>
      </c>
      <c r="U547" s="2509"/>
      <c r="V547" s="2509"/>
      <c r="W547" s="2523">
        <f t="shared" si="57"/>
        <v>49560</v>
      </c>
      <c r="X547" s="2541">
        <v>41300</v>
      </c>
      <c r="Y547" s="2509"/>
      <c r="Z547" s="2509"/>
    </row>
    <row r="548" spans="1:26" s="19" customFormat="1" ht="18.75">
      <c r="A548" s="140">
        <v>3</v>
      </c>
      <c r="B548" s="75"/>
      <c r="C548" s="126" t="s">
        <v>112</v>
      </c>
      <c r="D548" s="126"/>
      <c r="E548" s="126"/>
      <c r="F548" s="126"/>
      <c r="G548" s="126"/>
      <c r="H548" s="1548"/>
      <c r="I548" s="41" t="s">
        <v>573</v>
      </c>
      <c r="J548" s="1183">
        <v>23800</v>
      </c>
      <c r="K548" s="1387">
        <f>'[1]диагн.'!$G$908</f>
        <v>0.3335</v>
      </c>
      <c r="L548" s="1342">
        <f t="shared" si="58"/>
        <v>23800.3335</v>
      </c>
      <c r="M548" s="1462">
        <f t="shared" si="59"/>
        <v>2.38</v>
      </c>
      <c r="N548" s="1463">
        <f t="shared" si="60"/>
        <v>0.3335</v>
      </c>
      <c r="O548" s="1440">
        <f t="shared" si="61"/>
        <v>2.7135</v>
      </c>
      <c r="P548" s="22"/>
      <c r="Q548" s="6"/>
      <c r="R548" s="2514">
        <f t="shared" si="62"/>
        <v>15524.999999999998</v>
      </c>
      <c r="S548" s="2509"/>
      <c r="T548" s="2519">
        <v>13500</v>
      </c>
      <c r="U548" s="2509"/>
      <c r="V548" s="2509"/>
      <c r="W548" s="2523">
        <f t="shared" si="57"/>
        <v>23760</v>
      </c>
      <c r="X548" s="2541">
        <v>19800</v>
      </c>
      <c r="Y548" s="2509"/>
      <c r="Z548" s="2509"/>
    </row>
    <row r="549" spans="1:26" s="19" customFormat="1" ht="18.75">
      <c r="A549" s="140">
        <v>4</v>
      </c>
      <c r="B549" s="75"/>
      <c r="C549" s="2217" t="s">
        <v>499</v>
      </c>
      <c r="D549" s="2217"/>
      <c r="E549" s="2217"/>
      <c r="F549" s="2217"/>
      <c r="G549" s="2217"/>
      <c r="H549" s="2217"/>
      <c r="I549" s="497" t="s">
        <v>573</v>
      </c>
      <c r="J549" s="1183">
        <v>173000</v>
      </c>
      <c r="K549" s="1387">
        <f>'[1]диагн.'!$G$918</f>
        <v>6.809999999999999</v>
      </c>
      <c r="L549" s="1342">
        <f t="shared" si="58"/>
        <v>173006.81</v>
      </c>
      <c r="M549" s="1477">
        <f t="shared" si="59"/>
        <v>17.3</v>
      </c>
      <c r="N549" s="1478">
        <f t="shared" si="60"/>
        <v>6.809999999999999</v>
      </c>
      <c r="O549" s="1452">
        <f t="shared" si="61"/>
        <v>24.11</v>
      </c>
      <c r="P549" s="22"/>
      <c r="Q549" s="818">
        <f>L549-139100</f>
        <v>33906.81</v>
      </c>
      <c r="R549" s="2514">
        <f t="shared" si="62"/>
        <v>132192.5</v>
      </c>
      <c r="S549" s="2509"/>
      <c r="T549" s="2519">
        <v>114950</v>
      </c>
      <c r="U549" s="2509"/>
      <c r="V549" s="2509"/>
      <c r="W549" s="2523">
        <f t="shared" si="57"/>
        <v>173040</v>
      </c>
      <c r="X549" s="2541">
        <v>144200</v>
      </c>
      <c r="Y549" s="2509"/>
      <c r="Z549" s="2509"/>
    </row>
    <row r="550" spans="1:26" s="19" customFormat="1" ht="18.75">
      <c r="A550" s="140">
        <v>5</v>
      </c>
      <c r="B550" s="75"/>
      <c r="C550" s="2197" t="s">
        <v>121</v>
      </c>
      <c r="D550" s="2197"/>
      <c r="E550" s="2197"/>
      <c r="F550" s="2197"/>
      <c r="G550" s="2197"/>
      <c r="H550" s="2197"/>
      <c r="I550" s="497" t="s">
        <v>573</v>
      </c>
      <c r="J550" s="1183">
        <v>117200</v>
      </c>
      <c r="K550" s="1387">
        <f>'[1]диагн.'!$G$929</f>
        <v>3.4245</v>
      </c>
      <c r="L550" s="1342">
        <f>SUM(J550:K550)</f>
        <v>117203.4245</v>
      </c>
      <c r="M550" s="1477">
        <f t="shared" si="59"/>
        <v>11.72</v>
      </c>
      <c r="N550" s="1478">
        <f t="shared" si="60"/>
        <v>3.4245</v>
      </c>
      <c r="O550" s="1452">
        <f t="shared" si="61"/>
        <v>15.1445</v>
      </c>
      <c r="P550" s="22"/>
      <c r="Q550" s="6"/>
      <c r="R550" s="2514">
        <f t="shared" si="62"/>
        <v>76647.5</v>
      </c>
      <c r="S550" s="2509"/>
      <c r="T550" s="2519">
        <v>66650</v>
      </c>
      <c r="U550" s="2509"/>
      <c r="V550" s="2509"/>
      <c r="W550" s="2523">
        <f t="shared" si="57"/>
        <v>117240</v>
      </c>
      <c r="X550" s="2541">
        <v>97700</v>
      </c>
      <c r="Y550" s="2509"/>
      <c r="Z550" s="2509"/>
    </row>
    <row r="551" spans="1:26" s="19" customFormat="1" ht="18.75">
      <c r="A551" s="140">
        <v>6</v>
      </c>
      <c r="B551" s="75"/>
      <c r="C551" s="126" t="s">
        <v>113</v>
      </c>
      <c r="D551" s="126"/>
      <c r="E551" s="126"/>
      <c r="F551" s="126"/>
      <c r="G551" s="126"/>
      <c r="H551" s="1548"/>
      <c r="I551" s="41" t="s">
        <v>573</v>
      </c>
      <c r="J551" s="1183">
        <v>117200</v>
      </c>
      <c r="K551" s="1387">
        <f>'[1]диагн.'!$G$938</f>
        <v>15.438999999999997</v>
      </c>
      <c r="L551" s="1342">
        <f t="shared" si="58"/>
        <v>117215.439</v>
      </c>
      <c r="M551" s="1462">
        <f t="shared" si="59"/>
        <v>11.72</v>
      </c>
      <c r="N551" s="1463">
        <f t="shared" si="60"/>
        <v>15.438999999999997</v>
      </c>
      <c r="O551" s="1440">
        <f t="shared" si="61"/>
        <v>27.159</v>
      </c>
      <c r="P551" s="22"/>
      <c r="Q551" s="818">
        <f>L551-155400</f>
        <v>-38184.561</v>
      </c>
      <c r="R551" s="2514">
        <f t="shared" si="62"/>
        <v>76647.5</v>
      </c>
      <c r="S551" s="2509"/>
      <c r="T551" s="2519">
        <v>66650</v>
      </c>
      <c r="U551" s="2509"/>
      <c r="V551" s="2509"/>
      <c r="W551" s="2523">
        <f t="shared" si="57"/>
        <v>117240</v>
      </c>
      <c r="X551" s="2541">
        <v>97700</v>
      </c>
      <c r="Y551" s="2509"/>
      <c r="Z551" s="2509"/>
    </row>
    <row r="552" spans="1:26" s="19" customFormat="1" ht="18.75">
      <c r="A552" s="140"/>
      <c r="B552" s="75"/>
      <c r="C552" s="2218" t="s">
        <v>114</v>
      </c>
      <c r="D552" s="2218"/>
      <c r="E552" s="2218"/>
      <c r="F552" s="2218"/>
      <c r="G552" s="2218"/>
      <c r="H552" s="2218"/>
      <c r="I552" s="41"/>
      <c r="J552" s="1183"/>
      <c r="K552" s="1387"/>
      <c r="L552" s="1342"/>
      <c r="M552" s="1479"/>
      <c r="N552" s="1480"/>
      <c r="O552" s="1453"/>
      <c r="P552" s="22"/>
      <c r="Q552" s="6"/>
      <c r="R552" s="2514"/>
      <c r="S552" s="2509"/>
      <c r="T552" s="2519"/>
      <c r="U552" s="2509"/>
      <c r="V552" s="2509"/>
      <c r="W552" s="2523">
        <f t="shared" si="57"/>
        <v>0</v>
      </c>
      <c r="X552" s="2541"/>
      <c r="Y552" s="2509"/>
      <c r="Z552" s="2509"/>
    </row>
    <row r="553" spans="1:26" s="19" customFormat="1" ht="18.75">
      <c r="A553" s="140">
        <v>7</v>
      </c>
      <c r="B553" s="75"/>
      <c r="C553" s="126" t="s">
        <v>119</v>
      </c>
      <c r="D553" s="126"/>
      <c r="E553" s="126"/>
      <c r="F553" s="126"/>
      <c r="G553" s="126"/>
      <c r="H553" s="1548"/>
      <c r="I553" s="41" t="s">
        <v>573</v>
      </c>
      <c r="J553" s="1183">
        <v>33600</v>
      </c>
      <c r="K553" s="1387">
        <f>'[1]диагн.'!$G$947</f>
        <v>0.192</v>
      </c>
      <c r="L553" s="1342">
        <f t="shared" si="58"/>
        <v>33600.192</v>
      </c>
      <c r="M553" s="1462">
        <f aca="true" t="shared" si="63" ref="M553:M559">J553/10000</f>
        <v>3.36</v>
      </c>
      <c r="N553" s="1463">
        <f aca="true" t="shared" si="64" ref="N553:N559">K553</f>
        <v>0.192</v>
      </c>
      <c r="O553" s="1440">
        <f aca="true" t="shared" si="65" ref="O553:O559">SUM(M553:N553)</f>
        <v>3.552</v>
      </c>
      <c r="P553" s="22"/>
      <c r="Q553" s="6"/>
      <c r="R553" s="2514">
        <f aca="true" t="shared" si="66" ref="R553:R559">T553*1.15</f>
        <v>21907.5</v>
      </c>
      <c r="S553" s="2509"/>
      <c r="T553" s="2519">
        <v>19050</v>
      </c>
      <c r="U553" s="2509"/>
      <c r="V553" s="2509"/>
      <c r="W553" s="2523">
        <f t="shared" si="57"/>
        <v>33600</v>
      </c>
      <c r="X553" s="2541">
        <v>28000</v>
      </c>
      <c r="Y553" s="2509"/>
      <c r="Z553" s="2509"/>
    </row>
    <row r="554" spans="1:26" s="19" customFormat="1" ht="18.75">
      <c r="A554" s="140">
        <v>8</v>
      </c>
      <c r="B554" s="75"/>
      <c r="C554" s="2197" t="s">
        <v>149</v>
      </c>
      <c r="D554" s="2197"/>
      <c r="E554" s="2197"/>
      <c r="F554" s="2197"/>
      <c r="G554" s="2197"/>
      <c r="H554" s="2197"/>
      <c r="I554" s="497" t="s">
        <v>573</v>
      </c>
      <c r="J554" s="1183">
        <v>25200</v>
      </c>
      <c r="K554" s="1387">
        <f>'[1]диагн.'!$G$956</f>
        <v>0.3915</v>
      </c>
      <c r="L554" s="1342">
        <f t="shared" si="58"/>
        <v>25200.3915</v>
      </c>
      <c r="M554" s="1477">
        <f t="shared" si="63"/>
        <v>2.52</v>
      </c>
      <c r="N554" s="1478">
        <f t="shared" si="64"/>
        <v>0.3915</v>
      </c>
      <c r="O554" s="1452">
        <f t="shared" si="65"/>
        <v>2.9115</v>
      </c>
      <c r="P554" s="22"/>
      <c r="Q554" s="6"/>
      <c r="R554" s="2514">
        <f t="shared" si="66"/>
        <v>16445</v>
      </c>
      <c r="S554" s="2509"/>
      <c r="T554" s="2519">
        <v>14300</v>
      </c>
      <c r="U554" s="2509"/>
      <c r="V554" s="2509"/>
      <c r="W554" s="2523">
        <f t="shared" si="57"/>
        <v>25200</v>
      </c>
      <c r="X554" s="2541">
        <v>21000</v>
      </c>
      <c r="Y554" s="2509"/>
      <c r="Z554" s="2509"/>
    </row>
    <row r="555" spans="1:26" s="19" customFormat="1" ht="18.75">
      <c r="A555" s="140">
        <v>9</v>
      </c>
      <c r="B555" s="75"/>
      <c r="C555" s="2197" t="s">
        <v>150</v>
      </c>
      <c r="D555" s="2197"/>
      <c r="E555" s="2197"/>
      <c r="F555" s="2197"/>
      <c r="G555" s="2197"/>
      <c r="H555" s="2197"/>
      <c r="I555" s="497" t="s">
        <v>573</v>
      </c>
      <c r="J555" s="1183">
        <v>4800</v>
      </c>
      <c r="K555" s="1387">
        <f>'[1]диагн.'!$G$961</f>
        <v>0.2315</v>
      </c>
      <c r="L555" s="1342">
        <f t="shared" si="58"/>
        <v>4800.2315</v>
      </c>
      <c r="M555" s="1477">
        <f t="shared" si="63"/>
        <v>0.48</v>
      </c>
      <c r="N555" s="1478">
        <f t="shared" si="64"/>
        <v>0.2315</v>
      </c>
      <c r="O555" s="1452">
        <f t="shared" si="65"/>
        <v>0.7115</v>
      </c>
      <c r="P555" s="22"/>
      <c r="Q555" s="6"/>
      <c r="R555" s="2514">
        <f t="shared" si="66"/>
        <v>2702.5</v>
      </c>
      <c r="S555" s="2509"/>
      <c r="T555" s="2519">
        <v>2350</v>
      </c>
      <c r="U555" s="2509"/>
      <c r="V555" s="2509"/>
      <c r="W555" s="2523">
        <f t="shared" si="57"/>
        <v>4800</v>
      </c>
      <c r="X555" s="2541">
        <v>4000</v>
      </c>
      <c r="Y555" s="2509"/>
      <c r="Z555" s="2509"/>
    </row>
    <row r="556" spans="1:26" s="19" customFormat="1" ht="18.75">
      <c r="A556" s="140">
        <v>10</v>
      </c>
      <c r="B556" s="75"/>
      <c r="C556" s="2197" t="s">
        <v>115</v>
      </c>
      <c r="D556" s="2197"/>
      <c r="E556" s="2197"/>
      <c r="F556" s="2197"/>
      <c r="G556" s="2197"/>
      <c r="H556" s="2197"/>
      <c r="I556" s="497" t="s">
        <v>573</v>
      </c>
      <c r="J556" s="1183">
        <v>30200</v>
      </c>
      <c r="K556" s="1387">
        <f>'[1]диагн.'!$G$971</f>
        <v>0.4115</v>
      </c>
      <c r="L556" s="1342">
        <f t="shared" si="58"/>
        <v>30200.4115</v>
      </c>
      <c r="M556" s="1477">
        <f t="shared" si="63"/>
        <v>3.02</v>
      </c>
      <c r="N556" s="1478">
        <f t="shared" si="64"/>
        <v>0.4115</v>
      </c>
      <c r="O556" s="1452">
        <f t="shared" si="65"/>
        <v>3.4314999999999998</v>
      </c>
      <c r="P556" s="22"/>
      <c r="Q556" s="6"/>
      <c r="R556" s="2514">
        <f t="shared" si="66"/>
        <v>19722.5</v>
      </c>
      <c r="S556" s="2509"/>
      <c r="T556" s="2519">
        <v>17150</v>
      </c>
      <c r="U556" s="2509"/>
      <c r="V556" s="2509"/>
      <c r="W556" s="2523">
        <f t="shared" si="57"/>
        <v>30240</v>
      </c>
      <c r="X556" s="2541">
        <v>25200</v>
      </c>
      <c r="Y556" s="2509"/>
      <c r="Z556" s="2509"/>
    </row>
    <row r="557" spans="1:26" s="19" customFormat="1" ht="18.75">
      <c r="A557" s="140">
        <v>11</v>
      </c>
      <c r="B557" s="75"/>
      <c r="C557" s="2197" t="s">
        <v>116</v>
      </c>
      <c r="D557" s="2197"/>
      <c r="E557" s="2197"/>
      <c r="F557" s="2197"/>
      <c r="G557" s="2197"/>
      <c r="H557" s="2197"/>
      <c r="I557" s="497" t="s">
        <v>573</v>
      </c>
      <c r="J557" s="1183">
        <v>37800</v>
      </c>
      <c r="K557" s="1387">
        <f>'[1]диагн.'!$G$978</f>
        <v>0.155</v>
      </c>
      <c r="L557" s="1342">
        <f t="shared" si="58"/>
        <v>37800.155</v>
      </c>
      <c r="M557" s="1462">
        <f t="shared" si="63"/>
        <v>3.78</v>
      </c>
      <c r="N557" s="1463">
        <f t="shared" si="64"/>
        <v>0.155</v>
      </c>
      <c r="O557" s="1440">
        <f t="shared" si="65"/>
        <v>3.9349999999999996</v>
      </c>
      <c r="P557" s="22"/>
      <c r="Q557" s="6"/>
      <c r="R557" s="2514">
        <f t="shared" si="66"/>
        <v>24609.999999999996</v>
      </c>
      <c r="S557" s="2509"/>
      <c r="T557" s="2519">
        <v>21400</v>
      </c>
      <c r="U557" s="2509"/>
      <c r="V557" s="2509"/>
      <c r="W557" s="2523">
        <f t="shared" si="57"/>
        <v>37800</v>
      </c>
      <c r="X557" s="2541">
        <v>31500</v>
      </c>
      <c r="Y557" s="2509"/>
      <c r="Z557" s="2509"/>
    </row>
    <row r="558" spans="1:26" s="19" customFormat="1" ht="18.75">
      <c r="A558" s="140">
        <v>12</v>
      </c>
      <c r="B558" s="75"/>
      <c r="C558" s="2197" t="s">
        <v>117</v>
      </c>
      <c r="D558" s="2197"/>
      <c r="E558" s="2197"/>
      <c r="F558" s="2197"/>
      <c r="G558" s="2197"/>
      <c r="H558" s="2197"/>
      <c r="I558" s="497" t="s">
        <v>573</v>
      </c>
      <c r="J558" s="1183">
        <v>33200</v>
      </c>
      <c r="K558" s="1387">
        <f>'[1]диагн.'!$G$982</f>
        <v>0.18</v>
      </c>
      <c r="L558" s="1342">
        <f t="shared" si="58"/>
        <v>33200.18</v>
      </c>
      <c r="M558" s="1477">
        <f t="shared" si="63"/>
        <v>3.32</v>
      </c>
      <c r="N558" s="1478">
        <f t="shared" si="64"/>
        <v>0.18</v>
      </c>
      <c r="O558" s="1452">
        <f t="shared" si="65"/>
        <v>3.5</v>
      </c>
      <c r="P558" s="22"/>
      <c r="Q558" s="6"/>
      <c r="R558" s="2514">
        <f t="shared" si="66"/>
        <v>23747.499999999996</v>
      </c>
      <c r="S558" s="2509"/>
      <c r="T558" s="2519">
        <v>20650</v>
      </c>
      <c r="U558" s="2509"/>
      <c r="V558" s="2509"/>
      <c r="W558" s="2523">
        <f t="shared" si="57"/>
        <v>33240</v>
      </c>
      <c r="X558" s="2541">
        <v>27700</v>
      </c>
      <c r="Y558" s="2509"/>
      <c r="Z558" s="2509"/>
    </row>
    <row r="559" spans="1:26" s="19" customFormat="1" ht="18.75">
      <c r="A559" s="140">
        <v>13</v>
      </c>
      <c r="B559" s="75"/>
      <c r="C559" s="126" t="s">
        <v>118</v>
      </c>
      <c r="D559" s="126"/>
      <c r="E559" s="126"/>
      <c r="F559" s="126"/>
      <c r="G559" s="126"/>
      <c r="H559" s="1548"/>
      <c r="I559" s="41" t="s">
        <v>573</v>
      </c>
      <c r="J559" s="1183">
        <v>10700</v>
      </c>
      <c r="K559" s="1387">
        <f>'[1]диагн.'!$G$986</f>
        <v>0.03</v>
      </c>
      <c r="L559" s="1342">
        <f t="shared" si="58"/>
        <v>10700.03</v>
      </c>
      <c r="M559" s="1462">
        <f t="shared" si="63"/>
        <v>1.07</v>
      </c>
      <c r="N559" s="1463">
        <f t="shared" si="64"/>
        <v>0.03</v>
      </c>
      <c r="O559" s="1440">
        <f t="shared" si="65"/>
        <v>1.1</v>
      </c>
      <c r="P559" s="22"/>
      <c r="Q559" s="6"/>
      <c r="R559" s="2514">
        <f t="shared" si="66"/>
        <v>6899.999999999999</v>
      </c>
      <c r="S559" s="2509"/>
      <c r="T559" s="2519">
        <v>6000</v>
      </c>
      <c r="U559" s="2509"/>
      <c r="V559" s="2509"/>
      <c r="W559" s="2523">
        <f t="shared" si="57"/>
        <v>10680</v>
      </c>
      <c r="X559" s="2541">
        <v>8900</v>
      </c>
      <c r="Y559" s="2509"/>
      <c r="Z559" s="2509"/>
    </row>
    <row r="560" spans="1:26" s="19" customFormat="1" ht="18.75">
      <c r="A560" s="140">
        <v>14</v>
      </c>
      <c r="B560" s="75"/>
      <c r="C560" s="632" t="s">
        <v>343</v>
      </c>
      <c r="D560" s="126"/>
      <c r="E560" s="126"/>
      <c r="F560" s="126"/>
      <c r="G560" s="126"/>
      <c r="H560" s="1548"/>
      <c r="I560" s="41"/>
      <c r="J560" s="1183"/>
      <c r="K560" s="1387"/>
      <c r="L560" s="1342"/>
      <c r="M560" s="1479"/>
      <c r="N560" s="1480"/>
      <c r="O560" s="1453"/>
      <c r="P560" s="22"/>
      <c r="Q560" s="6"/>
      <c r="R560" s="2514"/>
      <c r="S560" s="2509"/>
      <c r="T560" s="2519"/>
      <c r="U560" s="2509"/>
      <c r="V560" s="2509"/>
      <c r="W560" s="2523">
        <f t="shared" si="57"/>
        <v>0</v>
      </c>
      <c r="X560" s="2541"/>
      <c r="Y560" s="2509"/>
      <c r="Z560" s="2509"/>
    </row>
    <row r="561" spans="1:26" s="19" customFormat="1" ht="18.75">
      <c r="A561" s="140"/>
      <c r="B561" s="75"/>
      <c r="C561" s="632" t="s">
        <v>344</v>
      </c>
      <c r="D561" s="126"/>
      <c r="E561" s="126"/>
      <c r="F561" s="126"/>
      <c r="G561" s="126"/>
      <c r="H561" s="1548"/>
      <c r="I561" s="41"/>
      <c r="J561" s="1183"/>
      <c r="K561" s="1387"/>
      <c r="L561" s="1342"/>
      <c r="M561" s="1479"/>
      <c r="N561" s="1480"/>
      <c r="O561" s="1453"/>
      <c r="P561" s="22"/>
      <c r="Q561" s="6"/>
      <c r="R561" s="2514"/>
      <c r="S561" s="2509"/>
      <c r="T561" s="2519"/>
      <c r="U561" s="2509"/>
      <c r="V561" s="2509"/>
      <c r="W561" s="2523">
        <f t="shared" si="57"/>
        <v>0</v>
      </c>
      <c r="X561" s="2541"/>
      <c r="Y561" s="2509"/>
      <c r="Z561" s="2509"/>
    </row>
    <row r="562" spans="1:26" s="19" customFormat="1" ht="18.75">
      <c r="A562" s="11"/>
      <c r="B562" s="83"/>
      <c r="C562" s="632" t="s">
        <v>500</v>
      </c>
      <c r="D562" s="126"/>
      <c r="E562" s="126"/>
      <c r="F562" s="126"/>
      <c r="G562" s="126"/>
      <c r="H562" s="126"/>
      <c r="I562" s="41" t="s">
        <v>573</v>
      </c>
      <c r="J562" s="1183">
        <v>138000</v>
      </c>
      <c r="K562" s="1387">
        <f>'[1]диагн.'!$G$986</f>
        <v>0.03</v>
      </c>
      <c r="L562" s="1342">
        <f>SUM(J562:K562)</f>
        <v>138000.03</v>
      </c>
      <c r="M562" s="1462">
        <f>J562/10000</f>
        <v>13.8</v>
      </c>
      <c r="N562" s="1463">
        <f>K562</f>
        <v>0.03</v>
      </c>
      <c r="O562" s="1440">
        <f>SUM(M562:N562)</f>
        <v>13.83</v>
      </c>
      <c r="P562" s="22"/>
      <c r="Q562" s="6"/>
      <c r="R562" s="2509"/>
      <c r="S562" s="2509"/>
      <c r="T562" s="2509"/>
      <c r="U562" s="2509"/>
      <c r="V562" s="2509"/>
      <c r="W562" s="2523">
        <f t="shared" si="57"/>
        <v>138000</v>
      </c>
      <c r="X562" s="2541">
        <v>115000</v>
      </c>
      <c r="Y562" s="2509"/>
      <c r="Z562" s="2509"/>
    </row>
    <row r="563" spans="1:26" s="19" customFormat="1" ht="18.75">
      <c r="A563" s="11"/>
      <c r="B563" s="83"/>
      <c r="C563" s="79"/>
      <c r="D563" s="3"/>
      <c r="E563" s="3"/>
      <c r="F563" s="10"/>
      <c r="G563" s="10"/>
      <c r="H563" s="10"/>
      <c r="I563" s="41"/>
      <c r="J563" s="1183"/>
      <c r="K563" s="1387"/>
      <c r="L563" s="1342"/>
      <c r="M563" s="1479"/>
      <c r="N563" s="1480"/>
      <c r="O563" s="1453"/>
      <c r="P563" s="22"/>
      <c r="Q563" s="6"/>
      <c r="R563" s="2509"/>
      <c r="S563" s="2509"/>
      <c r="T563" s="2509"/>
      <c r="U563" s="2509"/>
      <c r="V563" s="2509"/>
      <c r="W563" s="2523">
        <f t="shared" si="57"/>
        <v>0</v>
      </c>
      <c r="X563" s="2541"/>
      <c r="Y563" s="2509"/>
      <c r="Z563" s="2509"/>
    </row>
    <row r="564" spans="1:26" s="19" customFormat="1" ht="18">
      <c r="A564" s="1011">
        <v>14</v>
      </c>
      <c r="B564" s="107" t="s">
        <v>761</v>
      </c>
      <c r="C564" s="1012"/>
      <c r="D564" s="3"/>
      <c r="E564" s="3"/>
      <c r="F564" s="2"/>
      <c r="G564" s="2"/>
      <c r="H564" s="2"/>
      <c r="I564" s="41"/>
      <c r="J564" s="1141"/>
      <c r="K564" s="1347"/>
      <c r="L564" s="1343"/>
      <c r="M564" s="1462"/>
      <c r="N564" s="1465"/>
      <c r="O564" s="1454"/>
      <c r="P564" s="22"/>
      <c r="Q564" s="6"/>
      <c r="R564" s="2509"/>
      <c r="S564" s="2509"/>
      <c r="T564" s="2509"/>
      <c r="U564" s="2509"/>
      <c r="V564" s="2509"/>
      <c r="W564" s="2523">
        <f t="shared" si="57"/>
        <v>0</v>
      </c>
      <c r="X564" s="2538"/>
      <c r="Y564" s="2509"/>
      <c r="Z564" s="2509"/>
    </row>
    <row r="565" spans="1:26" s="19" customFormat="1" ht="18.75">
      <c r="A565" s="15"/>
      <c r="B565" s="1036" t="s">
        <v>235</v>
      </c>
      <c r="C565" s="3"/>
      <c r="D565" s="3"/>
      <c r="E565" s="126"/>
      <c r="F565" s="2"/>
      <c r="G565" s="2"/>
      <c r="H565" s="2"/>
      <c r="I565" s="41"/>
      <c r="J565" s="1141"/>
      <c r="K565" s="1388"/>
      <c r="L565" s="1343"/>
      <c r="M565" s="1462"/>
      <c r="N565" s="1468"/>
      <c r="O565" s="1454"/>
      <c r="P565" s="22"/>
      <c r="Q565" s="6"/>
      <c r="R565" s="2509"/>
      <c r="S565" s="2509"/>
      <c r="T565" s="2509"/>
      <c r="U565" s="2509"/>
      <c r="V565" s="2509"/>
      <c r="W565" s="2523">
        <f t="shared" si="57"/>
        <v>0</v>
      </c>
      <c r="X565" s="2538"/>
      <c r="Y565" s="2509"/>
      <c r="Z565" s="2509"/>
    </row>
    <row r="566" spans="1:26" s="51" customFormat="1" ht="18.75">
      <c r="A566" s="11">
        <v>1</v>
      </c>
      <c r="B566" s="67"/>
      <c r="C566" s="126" t="s">
        <v>762</v>
      </c>
      <c r="D566" s="3"/>
      <c r="E566" s="126"/>
      <c r="F566" s="10"/>
      <c r="G566" s="10"/>
      <c r="H566" s="10"/>
      <c r="I566" s="41" t="s">
        <v>573</v>
      </c>
      <c r="J566" s="1141">
        <v>164000</v>
      </c>
      <c r="K566" s="1385">
        <f>'[1]диагн.'!$G$851</f>
        <v>5.6528</v>
      </c>
      <c r="L566" s="1342">
        <f>SUM(J566:K566)</f>
        <v>164005.6528</v>
      </c>
      <c r="M566" s="1462">
        <f>J566/10000</f>
        <v>16.4</v>
      </c>
      <c r="N566" s="1463">
        <f>K566</f>
        <v>5.6528</v>
      </c>
      <c r="O566" s="1440">
        <f>SUM(M566:N566)</f>
        <v>22.052799999999998</v>
      </c>
      <c r="P566" s="22"/>
      <c r="Q566" s="819">
        <f>L566-46200</f>
        <v>117805.65280000001</v>
      </c>
      <c r="R566" s="2516"/>
      <c r="S566" s="2516"/>
      <c r="T566" s="2516"/>
      <c r="U566" s="2516"/>
      <c r="V566" s="2516"/>
      <c r="W566" s="2523">
        <f t="shared" si="57"/>
        <v>164040</v>
      </c>
      <c r="X566" s="2538">
        <v>136700</v>
      </c>
      <c r="Y566" s="2516"/>
      <c r="Z566" s="2516"/>
    </row>
    <row r="567" spans="1:26" s="51" customFormat="1" ht="18.75">
      <c r="A567" s="11"/>
      <c r="B567" s="67"/>
      <c r="C567" s="632" t="s">
        <v>314</v>
      </c>
      <c r="D567" s="3"/>
      <c r="E567" s="126"/>
      <c r="F567" s="10"/>
      <c r="G567" s="10"/>
      <c r="H567" s="10"/>
      <c r="I567" s="41" t="s">
        <v>573</v>
      </c>
      <c r="J567" s="1141">
        <v>154400</v>
      </c>
      <c r="K567" s="1385">
        <f>'[1]диагн.'!$G$862</f>
        <v>8.770000000000001</v>
      </c>
      <c r="L567" s="1342">
        <f>SUM(J567:K567)</f>
        <v>154408.77</v>
      </c>
      <c r="M567" s="1462">
        <f>J567/10000</f>
        <v>15.44</v>
      </c>
      <c r="N567" s="1463">
        <f>K567</f>
        <v>8.770000000000001</v>
      </c>
      <c r="O567" s="1440">
        <f>SUM(M567:N567)</f>
        <v>24.21</v>
      </c>
      <c r="P567" s="22"/>
      <c r="Q567" s="819"/>
      <c r="R567" s="2516"/>
      <c r="S567" s="2516"/>
      <c r="T567" s="2516"/>
      <c r="U567" s="2516"/>
      <c r="V567" s="2516"/>
      <c r="W567" s="2523">
        <f aca="true" t="shared" si="67" ref="W567:W630">X567*1.2</f>
        <v>154440</v>
      </c>
      <c r="X567" s="2538">
        <v>128700</v>
      </c>
      <c r="Y567" s="2516"/>
      <c r="Z567" s="2516"/>
    </row>
    <row r="568" spans="1:26" s="51" customFormat="1" ht="18.75">
      <c r="A568" s="11"/>
      <c r="B568" s="67"/>
      <c r="C568" s="632" t="s">
        <v>315</v>
      </c>
      <c r="D568" s="3"/>
      <c r="E568" s="126"/>
      <c r="F568" s="10"/>
      <c r="G568" s="10"/>
      <c r="H568" s="10"/>
      <c r="I568" s="41" t="s">
        <v>573</v>
      </c>
      <c r="J568" s="1141">
        <v>263800</v>
      </c>
      <c r="K568" s="1385">
        <f>'[1]диагн.'!$G$876</f>
        <v>5.7700000000000005</v>
      </c>
      <c r="L568" s="1342">
        <f>SUM(J568:K568)</f>
        <v>263805.77</v>
      </c>
      <c r="M568" s="1462">
        <f>J568/10000</f>
        <v>26.38</v>
      </c>
      <c r="N568" s="1463">
        <f>K568</f>
        <v>5.7700000000000005</v>
      </c>
      <c r="O568" s="1440">
        <f>SUM(M568:N568)</f>
        <v>32.15</v>
      </c>
      <c r="P568" s="22"/>
      <c r="Q568" s="819"/>
      <c r="R568" s="2516"/>
      <c r="S568" s="2516"/>
      <c r="T568" s="2516"/>
      <c r="U568" s="2516"/>
      <c r="V568" s="2516"/>
      <c r="W568" s="2523">
        <f t="shared" si="67"/>
        <v>263760</v>
      </c>
      <c r="X568" s="2538">
        <v>219800</v>
      </c>
      <c r="Y568" s="2516"/>
      <c r="Z568" s="2516"/>
    </row>
    <row r="569" spans="1:26" s="51" customFormat="1" ht="18">
      <c r="A569" s="11"/>
      <c r="B569" s="67"/>
      <c r="C569" s="1531" t="s">
        <v>763</v>
      </c>
      <c r="D569" s="3"/>
      <c r="E569" s="126"/>
      <c r="F569" s="10"/>
      <c r="G569" s="10"/>
      <c r="H569" s="10"/>
      <c r="I569" s="41"/>
      <c r="J569" s="1141"/>
      <c r="K569" s="1385"/>
      <c r="L569" s="1343"/>
      <c r="M569" s="1462"/>
      <c r="N569" s="1476"/>
      <c r="O569" s="1454"/>
      <c r="P569" s="22"/>
      <c r="Q569" s="50"/>
      <c r="R569" s="2516"/>
      <c r="S569" s="2516"/>
      <c r="T569" s="2516"/>
      <c r="U569" s="2516"/>
      <c r="V569" s="2516"/>
      <c r="W569" s="2523">
        <f t="shared" si="67"/>
        <v>0</v>
      </c>
      <c r="X569" s="2538"/>
      <c r="Y569" s="2516"/>
      <c r="Z569" s="2516"/>
    </row>
    <row r="570" spans="1:26" s="51" customFormat="1" ht="18.75">
      <c r="A570" s="11">
        <v>2</v>
      </c>
      <c r="B570" s="67"/>
      <c r="C570" s="632" t="s">
        <v>764</v>
      </c>
      <c r="D570" s="3"/>
      <c r="E570" s="126"/>
      <c r="F570" s="10"/>
      <c r="G570" s="10"/>
      <c r="H570" s="10"/>
      <c r="I570" s="41" t="s">
        <v>573</v>
      </c>
      <c r="J570" s="1141">
        <v>42200</v>
      </c>
      <c r="K570" s="1385">
        <v>0</v>
      </c>
      <c r="L570" s="1342">
        <f>SUM(J570:K570)</f>
        <v>42200</v>
      </c>
      <c r="M570" s="1462">
        <f>J570/10000</f>
        <v>4.22</v>
      </c>
      <c r="N570" s="1463">
        <f>K570</f>
        <v>0</v>
      </c>
      <c r="O570" s="1440">
        <f>SUM(M570:N570)</f>
        <v>4.22</v>
      </c>
      <c r="P570" s="22"/>
      <c r="Q570" s="820"/>
      <c r="R570" s="2516"/>
      <c r="S570" s="2516"/>
      <c r="T570" s="2516"/>
      <c r="U570" s="2516"/>
      <c r="V570" s="2516"/>
      <c r="W570" s="2523">
        <f t="shared" si="67"/>
        <v>42240</v>
      </c>
      <c r="X570" s="2538">
        <v>35200</v>
      </c>
      <c r="Y570" s="2516"/>
      <c r="Z570" s="2516"/>
    </row>
    <row r="571" spans="1:26" s="9" customFormat="1" ht="18.75">
      <c r="A571" s="11">
        <v>3</v>
      </c>
      <c r="B571" s="67"/>
      <c r="C571" s="632" t="s">
        <v>769</v>
      </c>
      <c r="D571" s="3"/>
      <c r="E571" s="126"/>
      <c r="F571" s="10"/>
      <c r="G571" s="10"/>
      <c r="H571" s="10"/>
      <c r="I571" s="41" t="s">
        <v>573</v>
      </c>
      <c r="J571" s="1141">
        <v>42200</v>
      </c>
      <c r="K571" s="1385">
        <v>0</v>
      </c>
      <c r="L571" s="1342">
        <f>SUM(J571:K571)</f>
        <v>42200</v>
      </c>
      <c r="M571" s="1462">
        <f>J571/10000</f>
        <v>4.22</v>
      </c>
      <c r="N571" s="1463">
        <f>K571</f>
        <v>0</v>
      </c>
      <c r="O571" s="1440">
        <f>SUM(M571:N571)</f>
        <v>4.22</v>
      </c>
      <c r="P571" s="23"/>
      <c r="Q571" s="53"/>
      <c r="R571" s="2516"/>
      <c r="S571" s="2516"/>
      <c r="T571" s="2516"/>
      <c r="U571" s="2516"/>
      <c r="V571" s="2516"/>
      <c r="W571" s="2523">
        <f t="shared" si="67"/>
        <v>42240</v>
      </c>
      <c r="X571" s="2538">
        <v>35200</v>
      </c>
      <c r="Y571" s="2516"/>
      <c r="Z571" s="2516"/>
    </row>
    <row r="572" spans="1:26" s="9" customFormat="1" ht="18.75">
      <c r="A572" s="128"/>
      <c r="B572" s="956"/>
      <c r="C572" s="493"/>
      <c r="D572" s="133"/>
      <c r="E572" s="133"/>
      <c r="F572" s="14"/>
      <c r="G572" s="14"/>
      <c r="H572" s="14"/>
      <c r="I572" s="715"/>
      <c r="J572" s="1181"/>
      <c r="K572" s="1389"/>
      <c r="L572" s="1344"/>
      <c r="M572" s="1472"/>
      <c r="N572" s="1481"/>
      <c r="O572" s="1455"/>
      <c r="P572" s="23"/>
      <c r="Q572" s="53"/>
      <c r="R572" s="2516"/>
      <c r="S572" s="2516"/>
      <c r="T572" s="2516"/>
      <c r="U572" s="2516"/>
      <c r="V572" s="2516"/>
      <c r="W572" s="2523">
        <f t="shared" si="67"/>
        <v>0</v>
      </c>
      <c r="X572" s="2538"/>
      <c r="Y572" s="2516"/>
      <c r="Z572" s="2516"/>
    </row>
    <row r="573" spans="1:26" s="9" customFormat="1" ht="18">
      <c r="A573" s="42"/>
      <c r="B573" s="85"/>
      <c r="C573" s="86"/>
      <c r="D573" s="10"/>
      <c r="E573" s="10"/>
      <c r="F573" s="10"/>
      <c r="G573" s="10"/>
      <c r="H573" s="10"/>
      <c r="I573" s="41"/>
      <c r="J573" s="1141"/>
      <c r="K573" s="1347"/>
      <c r="L573" s="1326"/>
      <c r="M573" s="1462"/>
      <c r="N573" s="1465"/>
      <c r="O573" s="1442"/>
      <c r="P573" s="23"/>
      <c r="Q573" s="53"/>
      <c r="R573" s="2516"/>
      <c r="S573" s="2516"/>
      <c r="T573" s="2516"/>
      <c r="U573" s="2516"/>
      <c r="V573" s="2516"/>
      <c r="W573" s="2523">
        <f t="shared" si="67"/>
        <v>0</v>
      </c>
      <c r="X573" s="2538"/>
      <c r="Y573" s="2516"/>
      <c r="Z573" s="2516"/>
    </row>
    <row r="574" spans="1:26" s="685" customFormat="1" ht="18.75">
      <c r="A574" s="1021">
        <v>15</v>
      </c>
      <c r="B574" s="682" t="s">
        <v>770</v>
      </c>
      <c r="C574" s="683"/>
      <c r="D574" s="670"/>
      <c r="E574" s="670"/>
      <c r="F574" s="670"/>
      <c r="G574" s="670"/>
      <c r="H574" s="1030"/>
      <c r="I574" s="672"/>
      <c r="J574" s="1142"/>
      <c r="K574" s="1390"/>
      <c r="L574" s="1338"/>
      <c r="M574" s="1466"/>
      <c r="N574" s="1467"/>
      <c r="O574" s="1456"/>
      <c r="P574" s="673"/>
      <c r="Q574" s="684"/>
      <c r="R574" s="2509"/>
      <c r="S574" s="2509"/>
      <c r="T574" s="2509"/>
      <c r="U574" s="2509"/>
      <c r="V574" s="2509"/>
      <c r="W574" s="2523">
        <f t="shared" si="67"/>
        <v>0</v>
      </c>
      <c r="X574" s="2538"/>
      <c r="Y574" s="2509"/>
      <c r="Z574" s="2509"/>
    </row>
    <row r="575" spans="1:26" s="28" customFormat="1" ht="18.75">
      <c r="A575" s="15"/>
      <c r="B575" s="87"/>
      <c r="C575" s="1549" t="s">
        <v>501</v>
      </c>
      <c r="D575" s="1540"/>
      <c r="E575" s="1540"/>
      <c r="F575" s="126"/>
      <c r="G575" s="17"/>
      <c r="H575" s="17"/>
      <c r="I575" s="41"/>
      <c r="J575" s="1141"/>
      <c r="K575" s="1347"/>
      <c r="L575" s="1324"/>
      <c r="M575" s="1462"/>
      <c r="N575" s="1465"/>
      <c r="O575" s="1440"/>
      <c r="P575" s="22"/>
      <c r="Q575" s="27"/>
      <c r="R575" s="2509"/>
      <c r="S575" s="2509"/>
      <c r="T575" s="2509"/>
      <c r="U575" s="2509"/>
      <c r="V575" s="2509"/>
      <c r="W575" s="2523">
        <f t="shared" si="67"/>
        <v>0</v>
      </c>
      <c r="X575" s="2538"/>
      <c r="Y575" s="2509"/>
      <c r="Z575" s="2509"/>
    </row>
    <row r="576" spans="1:26" s="28" customFormat="1" ht="18.75">
      <c r="A576" s="15"/>
      <c r="B576" s="87"/>
      <c r="C576" s="1540"/>
      <c r="D576" s="1540"/>
      <c r="E576" s="1540"/>
      <c r="F576" s="1540"/>
      <c r="G576" s="1540"/>
      <c r="H576" s="1550" t="s">
        <v>772</v>
      </c>
      <c r="I576" s="41" t="s">
        <v>773</v>
      </c>
      <c r="J576" s="1141">
        <v>63100</v>
      </c>
      <c r="K576" s="1385">
        <v>0</v>
      </c>
      <c r="L576" s="1324">
        <f>SUM(J576:K576)</f>
        <v>63100</v>
      </c>
      <c r="M576" s="1462">
        <f>J576/10000</f>
        <v>6.31</v>
      </c>
      <c r="N576" s="1463">
        <f>K576</f>
        <v>0</v>
      </c>
      <c r="O576" s="1440">
        <f>SUM(M576:N576)</f>
        <v>6.31</v>
      </c>
      <c r="P576" s="22"/>
      <c r="Q576" s="27"/>
      <c r="R576" s="2509"/>
      <c r="S576" s="2509"/>
      <c r="T576" s="2509"/>
      <c r="U576" s="2509"/>
      <c r="V576" s="2509"/>
      <c r="W576" s="2523">
        <f t="shared" si="67"/>
        <v>63120</v>
      </c>
      <c r="X576" s="2538">
        <v>52600</v>
      </c>
      <c r="Y576" s="2509"/>
      <c r="Z576" s="2509"/>
    </row>
    <row r="577" spans="1:26" s="28" customFormat="1" ht="18.75">
      <c r="A577" s="15"/>
      <c r="B577" s="87"/>
      <c r="C577" s="1540"/>
      <c r="D577" s="1540"/>
      <c r="E577" s="1540"/>
      <c r="F577" s="1540"/>
      <c r="G577" s="1540"/>
      <c r="H577" s="1550" t="s">
        <v>774</v>
      </c>
      <c r="I577" s="41" t="s">
        <v>773</v>
      </c>
      <c r="J577" s="1141">
        <v>74000</v>
      </c>
      <c r="K577" s="1385">
        <v>0</v>
      </c>
      <c r="L577" s="1324">
        <f>SUM(J577:K577)</f>
        <v>74000</v>
      </c>
      <c r="M577" s="1462">
        <f>J577/10000</f>
        <v>7.4</v>
      </c>
      <c r="N577" s="1463">
        <f>K577</f>
        <v>0</v>
      </c>
      <c r="O577" s="1440">
        <f>SUM(M577:N577)</f>
        <v>7.4</v>
      </c>
      <c r="P577" s="22"/>
      <c r="Q577" s="27"/>
      <c r="R577" s="2509"/>
      <c r="S577" s="2509"/>
      <c r="T577" s="2509"/>
      <c r="U577" s="2509"/>
      <c r="V577" s="2509"/>
      <c r="W577" s="2523">
        <f t="shared" si="67"/>
        <v>74040</v>
      </c>
      <c r="X577" s="2538">
        <v>61700</v>
      </c>
      <c r="Y577" s="2509"/>
      <c r="Z577" s="2509"/>
    </row>
    <row r="578" spans="1:26" s="28" customFormat="1" ht="18.75">
      <c r="A578" s="15"/>
      <c r="B578" s="87"/>
      <c r="C578" s="1549" t="s">
        <v>502</v>
      </c>
      <c r="D578" s="1540"/>
      <c r="E578" s="1540"/>
      <c r="F578" s="1540"/>
      <c r="G578" s="1540"/>
      <c r="H578" s="1550"/>
      <c r="I578" s="41"/>
      <c r="J578" s="1141"/>
      <c r="K578" s="1385"/>
      <c r="L578" s="1324"/>
      <c r="M578" s="1462"/>
      <c r="N578" s="1476"/>
      <c r="O578" s="1440"/>
      <c r="P578" s="22"/>
      <c r="Q578" s="27"/>
      <c r="R578" s="2509"/>
      <c r="S578" s="2509"/>
      <c r="T578" s="2509"/>
      <c r="U578" s="2509"/>
      <c r="V578" s="2509"/>
      <c r="W578" s="2523">
        <f t="shared" si="67"/>
        <v>0</v>
      </c>
      <c r="X578" s="2538"/>
      <c r="Y578" s="2509"/>
      <c r="Z578" s="2509"/>
    </row>
    <row r="579" spans="1:26" s="28" customFormat="1" ht="18.75">
      <c r="A579" s="15"/>
      <c r="B579" s="87"/>
      <c r="C579" s="1540"/>
      <c r="D579" s="1540"/>
      <c r="E579" s="1540"/>
      <c r="F579" s="1540"/>
      <c r="G579" s="1540"/>
      <c r="H579" s="1550" t="s">
        <v>772</v>
      </c>
      <c r="I579" s="41" t="s">
        <v>773</v>
      </c>
      <c r="J579" s="1141">
        <v>66200</v>
      </c>
      <c r="K579" s="1385">
        <v>0</v>
      </c>
      <c r="L579" s="1324">
        <f>SUM(J579:K579)</f>
        <v>66200</v>
      </c>
      <c r="M579" s="1462">
        <f>J579/10000</f>
        <v>6.62</v>
      </c>
      <c r="N579" s="1463">
        <f>K579</f>
        <v>0</v>
      </c>
      <c r="O579" s="1440">
        <f>SUM(M579:N579)</f>
        <v>6.62</v>
      </c>
      <c r="P579" s="22"/>
      <c r="Q579" s="27"/>
      <c r="R579" s="2509"/>
      <c r="S579" s="2509"/>
      <c r="T579" s="2509"/>
      <c r="U579" s="2509"/>
      <c r="V579" s="2509"/>
      <c r="W579" s="2523">
        <f t="shared" si="67"/>
        <v>66240</v>
      </c>
      <c r="X579" s="2538">
        <v>55200</v>
      </c>
      <c r="Y579" s="2509"/>
      <c r="Z579" s="2509"/>
    </row>
    <row r="580" spans="1:26" s="28" customFormat="1" ht="18.75">
      <c r="A580" s="15"/>
      <c r="B580" s="87"/>
      <c r="C580" s="1549"/>
      <c r="D580" s="1540"/>
      <c r="E580" s="1540"/>
      <c r="F580" s="1540"/>
      <c r="G580" s="1540"/>
      <c r="H580" s="1550" t="s">
        <v>774</v>
      </c>
      <c r="I580" s="41" t="s">
        <v>773</v>
      </c>
      <c r="J580" s="1141">
        <v>77300</v>
      </c>
      <c r="K580" s="1385">
        <v>0</v>
      </c>
      <c r="L580" s="1324">
        <f>SUM(J580:K580)</f>
        <v>77300</v>
      </c>
      <c r="M580" s="1462">
        <f>J580/10000</f>
        <v>7.73</v>
      </c>
      <c r="N580" s="1463">
        <f>K580</f>
        <v>0</v>
      </c>
      <c r="O580" s="1440">
        <f>SUM(M580:N580)</f>
        <v>7.73</v>
      </c>
      <c r="P580" s="22"/>
      <c r="Q580" s="27"/>
      <c r="R580" s="2509"/>
      <c r="S580" s="2509"/>
      <c r="T580" s="2509"/>
      <c r="U580" s="2509"/>
      <c r="V580" s="2509"/>
      <c r="W580" s="2523">
        <f t="shared" si="67"/>
        <v>77280</v>
      </c>
      <c r="X580" s="2538">
        <v>64400</v>
      </c>
      <c r="Y580" s="2509"/>
      <c r="Z580" s="2509"/>
    </row>
    <row r="581" spans="1:26" s="28" customFormat="1" ht="18.75">
      <c r="A581" s="15"/>
      <c r="B581" s="87"/>
      <c r="C581" s="1549" t="s">
        <v>503</v>
      </c>
      <c r="D581" s="1540"/>
      <c r="E581" s="1540"/>
      <c r="F581" s="1540"/>
      <c r="G581" s="1540"/>
      <c r="H581" s="1550"/>
      <c r="I581" s="41"/>
      <c r="J581" s="1141"/>
      <c r="K581" s="1385"/>
      <c r="L581" s="1324"/>
      <c r="M581" s="1462"/>
      <c r="N581" s="1476"/>
      <c r="O581" s="1440"/>
      <c r="P581" s="22"/>
      <c r="Q581" s="27"/>
      <c r="R581" s="2509"/>
      <c r="S581" s="2509"/>
      <c r="T581" s="2509"/>
      <c r="U581" s="2509"/>
      <c r="V581" s="2509"/>
      <c r="W581" s="2523">
        <f t="shared" si="67"/>
        <v>0</v>
      </c>
      <c r="X581" s="2538"/>
      <c r="Y581" s="2509"/>
      <c r="Z581" s="2509"/>
    </row>
    <row r="582" spans="1:26" s="28" customFormat="1" ht="18.75">
      <c r="A582" s="15"/>
      <c r="B582" s="87"/>
      <c r="C582" s="1540"/>
      <c r="D582" s="1540"/>
      <c r="E582" s="1540"/>
      <c r="F582" s="1540"/>
      <c r="G582" s="1540"/>
      <c r="H582" s="1550" t="s">
        <v>772</v>
      </c>
      <c r="I582" s="41" t="s">
        <v>773</v>
      </c>
      <c r="J582" s="1141">
        <v>70900</v>
      </c>
      <c r="K582" s="1385">
        <v>0</v>
      </c>
      <c r="L582" s="1324">
        <f>SUM(J582:K582)</f>
        <v>70900</v>
      </c>
      <c r="M582" s="1462">
        <f>J582/10000</f>
        <v>7.09</v>
      </c>
      <c r="N582" s="1463">
        <f>K582</f>
        <v>0</v>
      </c>
      <c r="O582" s="1440">
        <f>SUM(M582:N582)</f>
        <v>7.09</v>
      </c>
      <c r="P582" s="22"/>
      <c r="Q582" s="27"/>
      <c r="R582" s="2509"/>
      <c r="S582" s="2509"/>
      <c r="T582" s="2509"/>
      <c r="U582" s="2509"/>
      <c r="V582" s="2509"/>
      <c r="W582" s="2523">
        <f t="shared" si="67"/>
        <v>70920</v>
      </c>
      <c r="X582" s="2538">
        <v>59100</v>
      </c>
      <c r="Y582" s="2509"/>
      <c r="Z582" s="2509"/>
    </row>
    <row r="583" spans="1:26" s="28" customFormat="1" ht="18.75">
      <c r="A583" s="15"/>
      <c r="B583" s="87"/>
      <c r="C583" s="1540"/>
      <c r="D583" s="1540"/>
      <c r="E583" s="1540"/>
      <c r="F583" s="1540"/>
      <c r="G583" s="1540"/>
      <c r="H583" s="1550" t="s">
        <v>774</v>
      </c>
      <c r="I583" s="41" t="s">
        <v>773</v>
      </c>
      <c r="J583" s="1141">
        <v>82200</v>
      </c>
      <c r="K583" s="1385">
        <v>0</v>
      </c>
      <c r="L583" s="1324">
        <f>SUM(J583:K583)</f>
        <v>82200</v>
      </c>
      <c r="M583" s="1462">
        <f>J583/10000</f>
        <v>8.22</v>
      </c>
      <c r="N583" s="1463">
        <f>K583</f>
        <v>0</v>
      </c>
      <c r="O583" s="1440">
        <f>SUM(M583:N583)</f>
        <v>8.22</v>
      </c>
      <c r="P583" s="22"/>
      <c r="Q583" s="27"/>
      <c r="R583" s="2509"/>
      <c r="S583" s="2509"/>
      <c r="T583" s="2509"/>
      <c r="U583" s="2509"/>
      <c r="V583" s="2509"/>
      <c r="W583" s="2523">
        <f t="shared" si="67"/>
        <v>82200</v>
      </c>
      <c r="X583" s="2538">
        <v>68500</v>
      </c>
      <c r="Y583" s="2509"/>
      <c r="Z583" s="2509"/>
    </row>
    <row r="584" spans="1:26" s="28" customFormat="1" ht="18.75">
      <c r="A584" s="29"/>
      <c r="B584" s="63"/>
      <c r="C584" s="36"/>
      <c r="D584" s="36"/>
      <c r="E584" s="36"/>
      <c r="F584" s="36"/>
      <c r="G584" s="36"/>
      <c r="H584" s="36"/>
      <c r="I584" s="41"/>
      <c r="J584" s="1141"/>
      <c r="K584" s="1347"/>
      <c r="L584" s="1324"/>
      <c r="M584" s="1462"/>
      <c r="N584" s="1465"/>
      <c r="O584" s="1440"/>
      <c r="P584" s="22"/>
      <c r="Q584" s="27"/>
      <c r="R584" s="2509"/>
      <c r="S584" s="2509"/>
      <c r="T584" s="2509"/>
      <c r="U584" s="2509"/>
      <c r="V584" s="2509"/>
      <c r="W584" s="2523">
        <f t="shared" si="67"/>
        <v>0</v>
      </c>
      <c r="X584" s="2538"/>
      <c r="Y584" s="2509"/>
      <c r="Z584" s="2509"/>
    </row>
    <row r="585" spans="1:26" s="688" customFormat="1" ht="19.5">
      <c r="A585" s="1021">
        <v>16</v>
      </c>
      <c r="B585" s="682" t="s">
        <v>775</v>
      </c>
      <c r="C585" s="686"/>
      <c r="D585" s="639"/>
      <c r="E585" s="639"/>
      <c r="F585" s="639"/>
      <c r="G585" s="639"/>
      <c r="H585" s="678"/>
      <c r="I585" s="672"/>
      <c r="J585" s="1142"/>
      <c r="K585" s="1390"/>
      <c r="L585" s="1338"/>
      <c r="M585" s="1466"/>
      <c r="N585" s="1467"/>
      <c r="O585" s="1456"/>
      <c r="P585" s="673"/>
      <c r="Q585" s="687"/>
      <c r="R585" s="2509"/>
      <c r="S585" s="2509"/>
      <c r="T585" s="2509"/>
      <c r="U585" s="2509"/>
      <c r="V585" s="2509"/>
      <c r="W585" s="2523">
        <f t="shared" si="67"/>
        <v>0</v>
      </c>
      <c r="X585" s="2538"/>
      <c r="Y585" s="2509"/>
      <c r="Z585" s="2509"/>
    </row>
    <row r="586" spans="1:26" s="19" customFormat="1" ht="18.75">
      <c r="A586" s="42"/>
      <c r="B586" s="20"/>
      <c r="C586" s="1532" t="s">
        <v>776</v>
      </c>
      <c r="D586" s="126"/>
      <c r="E586" s="126"/>
      <c r="F586" s="1551"/>
      <c r="G586" s="126"/>
      <c r="H586" s="1552" t="s">
        <v>158</v>
      </c>
      <c r="I586" s="1194" t="s">
        <v>460</v>
      </c>
      <c r="J586" s="1398">
        <v>18800</v>
      </c>
      <c r="K586" s="1398">
        <f>'[1]Иммун.'!$G$21</f>
        <v>53500</v>
      </c>
      <c r="L586" s="1345">
        <f>SUM(J586:K586)</f>
        <v>72300</v>
      </c>
      <c r="M586" s="1462">
        <f aca="true" t="shared" si="68" ref="M586:N588">J586/10000</f>
        <v>1.88</v>
      </c>
      <c r="N586" s="1463">
        <f t="shared" si="68"/>
        <v>5.35</v>
      </c>
      <c r="O586" s="1440">
        <f>SUM(M586:N586)</f>
        <v>7.2299999999999995</v>
      </c>
      <c r="P586" s="22"/>
      <c r="Q586" s="6"/>
      <c r="R586" s="2509"/>
      <c r="S586" s="2509"/>
      <c r="T586" s="2509"/>
      <c r="U586" s="2509"/>
      <c r="V586" s="2509"/>
      <c r="W586" s="2523">
        <f t="shared" si="67"/>
        <v>0</v>
      </c>
      <c r="X586" s="2538"/>
      <c r="Y586" s="2509"/>
      <c r="Z586" s="2509"/>
    </row>
    <row r="587" spans="1:26" s="51" customFormat="1" ht="18.75">
      <c r="A587" s="42"/>
      <c r="B587" s="20"/>
      <c r="C587" s="1532"/>
      <c r="D587" s="126"/>
      <c r="E587" s="126"/>
      <c r="F587" s="1551" t="s">
        <v>777</v>
      </c>
      <c r="G587" s="126"/>
      <c r="H587" s="1553" t="s">
        <v>322</v>
      </c>
      <c r="I587" s="41" t="s">
        <v>460</v>
      </c>
      <c r="J587" s="1141">
        <v>0</v>
      </c>
      <c r="K587" s="1347">
        <v>0</v>
      </c>
      <c r="L587" s="1324">
        <f>SUM(J587:K587)</f>
        <v>0</v>
      </c>
      <c r="M587" s="1462">
        <f t="shared" si="68"/>
        <v>0</v>
      </c>
      <c r="N587" s="1463">
        <f>K587</f>
        <v>0</v>
      </c>
      <c r="O587" s="1440">
        <f>SUM(M587:N587)</f>
        <v>0</v>
      </c>
      <c r="P587" s="22"/>
      <c r="Q587" s="50"/>
      <c r="R587" s="2516"/>
      <c r="S587" s="2516"/>
      <c r="T587" s="2516"/>
      <c r="U587" s="2516"/>
      <c r="V587" s="2516"/>
      <c r="W587" s="2523">
        <f t="shared" si="67"/>
        <v>18840</v>
      </c>
      <c r="X587" s="2538">
        <v>15700</v>
      </c>
      <c r="Y587" s="2516"/>
      <c r="Z587" s="2516"/>
    </row>
    <row r="588" spans="1:26" s="9" customFormat="1" ht="18.75">
      <c r="A588" s="29"/>
      <c r="B588" s="63"/>
      <c r="C588" s="126"/>
      <c r="D588" s="126"/>
      <c r="E588" s="126"/>
      <c r="F588" s="1554"/>
      <c r="G588" s="1555"/>
      <c r="H588" s="1553" t="s">
        <v>692</v>
      </c>
      <c r="I588" s="41" t="s">
        <v>460</v>
      </c>
      <c r="J588" s="1141">
        <v>18800</v>
      </c>
      <c r="K588" s="1347">
        <f>'[1]Иммун.'!$H$58</f>
        <v>16.188</v>
      </c>
      <c r="L588" s="1324">
        <f>J588+K588</f>
        <v>18816.188</v>
      </c>
      <c r="M588" s="1462">
        <f t="shared" si="68"/>
        <v>1.88</v>
      </c>
      <c r="N588" s="1463">
        <f>K588</f>
        <v>16.188</v>
      </c>
      <c r="O588" s="1440">
        <f>SUM(M588:N588)</f>
        <v>18.067999999999998</v>
      </c>
      <c r="P588" s="23"/>
      <c r="Q588" s="53"/>
      <c r="R588" s="2516"/>
      <c r="S588" s="2516"/>
      <c r="T588" s="2516"/>
      <c r="U588" s="2516"/>
      <c r="V588" s="2516"/>
      <c r="W588" s="2523">
        <f t="shared" si="67"/>
        <v>18840</v>
      </c>
      <c r="X588" s="2538">
        <v>15700</v>
      </c>
      <c r="Y588" s="2516"/>
      <c r="Z588" s="2516"/>
    </row>
    <row r="589" spans="1:26" s="9" customFormat="1" ht="18.75">
      <c r="A589" s="29"/>
      <c r="B589" s="63"/>
      <c r="C589" s="36"/>
      <c r="D589" s="36"/>
      <c r="E589" s="36"/>
      <c r="F589" s="36"/>
      <c r="G589" s="2228"/>
      <c r="H589" s="2229"/>
      <c r="I589" s="41"/>
      <c r="J589" s="1141"/>
      <c r="K589" s="1388"/>
      <c r="L589" s="1324"/>
      <c r="M589" s="1462"/>
      <c r="N589" s="1468"/>
      <c r="O589" s="1440"/>
      <c r="P589" s="23"/>
      <c r="Q589" s="53"/>
      <c r="R589" s="2516"/>
      <c r="S589" s="2516"/>
      <c r="T589" s="2516"/>
      <c r="U589" s="2516"/>
      <c r="V589" s="2516"/>
      <c r="W589" s="2523">
        <f t="shared" si="67"/>
        <v>0</v>
      </c>
      <c r="X589" s="2538"/>
      <c r="Y589" s="2516"/>
      <c r="Z589" s="2516"/>
    </row>
    <row r="590" spans="1:26" s="680" customFormat="1" ht="18.75">
      <c r="A590" s="1021">
        <v>17</v>
      </c>
      <c r="B590" s="682" t="s">
        <v>778</v>
      </c>
      <c r="C590" s="683"/>
      <c r="D590" s="639"/>
      <c r="E590" s="639"/>
      <c r="F590" s="639"/>
      <c r="G590" s="639"/>
      <c r="H590" s="678"/>
      <c r="I590" s="636" t="s">
        <v>779</v>
      </c>
      <c r="J590" s="1142">
        <v>9000</v>
      </c>
      <c r="K590" s="1399">
        <v>0</v>
      </c>
      <c r="L590" s="1338">
        <f>SUM(J590:K590)</f>
        <v>9000</v>
      </c>
      <c r="M590" s="1462">
        <f>J590/10000</f>
        <v>0.9</v>
      </c>
      <c r="N590" s="1463">
        <f>K590</f>
        <v>0</v>
      </c>
      <c r="O590" s="1440">
        <f>SUM(M590:N590)</f>
        <v>0.9</v>
      </c>
      <c r="P590" s="641"/>
      <c r="Q590" s="679"/>
      <c r="R590" s="2509"/>
      <c r="S590" s="2509"/>
      <c r="T590" s="2509"/>
      <c r="U590" s="2509"/>
      <c r="V590" s="2509"/>
      <c r="W590" s="2523">
        <f t="shared" si="67"/>
        <v>9000</v>
      </c>
      <c r="X590" s="2538">
        <v>7500</v>
      </c>
      <c r="Y590" s="2509"/>
      <c r="Z590" s="2509"/>
    </row>
    <row r="591" spans="1:24" ht="18.75">
      <c r="A591" s="29"/>
      <c r="B591" s="63"/>
      <c r="I591" s="41"/>
      <c r="J591" s="1141"/>
      <c r="K591" s="1388"/>
      <c r="L591" s="1324"/>
      <c r="M591" s="1462"/>
      <c r="N591" s="1468"/>
      <c r="O591" s="1440"/>
      <c r="P591" s="23"/>
      <c r="W591" s="2523">
        <f t="shared" si="67"/>
        <v>0</v>
      </c>
      <c r="X591" s="2538"/>
    </row>
    <row r="592" spans="1:24" ht="19.5">
      <c r="A592" s="1011">
        <v>18</v>
      </c>
      <c r="B592" s="91" t="s">
        <v>194</v>
      </c>
      <c r="C592" s="1022"/>
      <c r="D592" s="3"/>
      <c r="I592" s="41"/>
      <c r="J592" s="1141"/>
      <c r="K592" s="1347"/>
      <c r="L592" s="1324"/>
      <c r="M592" s="1462"/>
      <c r="N592" s="1465"/>
      <c r="O592" s="1440"/>
      <c r="P592" s="23"/>
      <c r="W592" s="2523">
        <f t="shared" si="67"/>
        <v>0</v>
      </c>
      <c r="X592" s="2538"/>
    </row>
    <row r="593" spans="1:24" ht="18.75">
      <c r="A593" s="32">
        <v>1</v>
      </c>
      <c r="B593" s="63"/>
      <c r="C593" s="126" t="s">
        <v>195</v>
      </c>
      <c r="I593" s="98" t="s">
        <v>796</v>
      </c>
      <c r="J593" s="1141">
        <v>13600</v>
      </c>
      <c r="K593" s="1347">
        <f>'[1]ЛОР'!$G$57</f>
        <v>1.4192268000000001</v>
      </c>
      <c r="L593" s="1324">
        <f>SUM(J593:K593)</f>
        <v>13601.4192268</v>
      </c>
      <c r="M593" s="1462">
        <f>J593/10000</f>
        <v>1.36</v>
      </c>
      <c r="N593" s="1463">
        <f>K593</f>
        <v>1.4192268000000001</v>
      </c>
      <c r="O593" s="1440">
        <f>SUM(M593:N593)</f>
        <v>2.7792268</v>
      </c>
      <c r="P593" s="23"/>
      <c r="W593" s="2523">
        <f t="shared" si="67"/>
        <v>13560</v>
      </c>
      <c r="X593" s="2538">
        <v>11300</v>
      </c>
    </row>
    <row r="594" spans="1:24" ht="18.75">
      <c r="A594" s="32">
        <v>2</v>
      </c>
      <c r="B594" s="63"/>
      <c r="C594" s="126" t="s">
        <v>812</v>
      </c>
      <c r="I594" s="98" t="s">
        <v>796</v>
      </c>
      <c r="J594" s="1141">
        <v>36100</v>
      </c>
      <c r="K594" s="1347">
        <f>'[1]ЛОР'!$G$37</f>
        <v>1.00118</v>
      </c>
      <c r="L594" s="1324">
        <f>SUM(J594:K594)</f>
        <v>36101.00118</v>
      </c>
      <c r="M594" s="1462">
        <f>J594/10000</f>
        <v>3.61</v>
      </c>
      <c r="N594" s="1463">
        <f>K594</f>
        <v>1.00118</v>
      </c>
      <c r="O594" s="1440">
        <f>SUM(M594:N594)</f>
        <v>4.61118</v>
      </c>
      <c r="P594" s="23"/>
      <c r="Q594" s="821">
        <f>L594-35050</f>
        <v>1051.0011799999993</v>
      </c>
      <c r="W594" s="2523">
        <f t="shared" si="67"/>
        <v>36120</v>
      </c>
      <c r="X594" s="2538">
        <v>30100</v>
      </c>
    </row>
    <row r="595" spans="1:24" ht="18.75">
      <c r="A595" s="32">
        <v>3</v>
      </c>
      <c r="B595" s="63"/>
      <c r="C595" s="126" t="s">
        <v>814</v>
      </c>
      <c r="I595" s="98" t="s">
        <v>796</v>
      </c>
      <c r="J595" s="1141">
        <v>33800</v>
      </c>
      <c r="K595" s="1347">
        <f>'[1]ЛОР'!$G$57</f>
        <v>1.4192268000000001</v>
      </c>
      <c r="L595" s="1324">
        <f>SUM(J595:K595)</f>
        <v>33801.4192268</v>
      </c>
      <c r="M595" s="1462">
        <f>J595/10000</f>
        <v>3.38</v>
      </c>
      <c r="N595" s="1463">
        <f>K595</f>
        <v>1.4192268000000001</v>
      </c>
      <c r="O595" s="1440">
        <f>SUM(M595:N595)</f>
        <v>4.7992268</v>
      </c>
      <c r="P595" s="23"/>
      <c r="Q595" s="5">
        <v>450</v>
      </c>
      <c r="W595" s="2523">
        <f t="shared" si="67"/>
        <v>33840</v>
      </c>
      <c r="X595" s="2538">
        <v>28200</v>
      </c>
    </row>
    <row r="596" spans="1:24" ht="18.75">
      <c r="A596" s="29"/>
      <c r="B596" s="63"/>
      <c r="I596" s="41"/>
      <c r="J596" s="1141"/>
      <c r="K596" s="1347"/>
      <c r="L596" s="1324"/>
      <c r="M596" s="1462"/>
      <c r="N596" s="1465"/>
      <c r="O596" s="1440"/>
      <c r="P596" s="23"/>
      <c r="W596" s="2523">
        <f t="shared" si="67"/>
        <v>0</v>
      </c>
      <c r="X596" s="2538"/>
    </row>
    <row r="597" spans="1:24" ht="19.5">
      <c r="A597" s="1011">
        <v>19</v>
      </c>
      <c r="B597" s="91" t="s">
        <v>209</v>
      </c>
      <c r="C597" s="1022"/>
      <c r="I597" s="41"/>
      <c r="J597" s="1141"/>
      <c r="K597" s="1347"/>
      <c r="L597" s="1324"/>
      <c r="M597" s="1462"/>
      <c r="N597" s="1465"/>
      <c r="O597" s="1440"/>
      <c r="P597" s="23"/>
      <c r="W597" s="2523">
        <f t="shared" si="67"/>
        <v>0</v>
      </c>
      <c r="X597" s="2538"/>
    </row>
    <row r="598" spans="1:24" ht="18.75">
      <c r="A598" s="32">
        <v>1</v>
      </c>
      <c r="B598" s="63"/>
      <c r="C598" s="632" t="s">
        <v>802</v>
      </c>
      <c r="I598" s="98" t="s">
        <v>796</v>
      </c>
      <c r="J598" s="1141">
        <v>43700</v>
      </c>
      <c r="K598" s="1347">
        <f>'[1]Офт.'!$G$23</f>
        <v>0.8200000000000001</v>
      </c>
      <c r="L598" s="1324">
        <f aca="true" t="shared" si="69" ref="L598:L603">SUM(J598:K598)</f>
        <v>43700.82</v>
      </c>
      <c r="M598" s="1462">
        <f>J598/10000</f>
        <v>4.37</v>
      </c>
      <c r="N598" s="1463">
        <f>K598</f>
        <v>0.8200000000000001</v>
      </c>
      <c r="O598" s="1440">
        <f>SUM(M598:N598)</f>
        <v>5.19</v>
      </c>
      <c r="P598" s="23"/>
      <c r="Q598" s="821">
        <f>L598-40650</f>
        <v>3050.8199999999997</v>
      </c>
      <c r="W598" s="2523">
        <f t="shared" si="67"/>
        <v>43680</v>
      </c>
      <c r="X598" s="2538">
        <v>36400</v>
      </c>
    </row>
    <row r="599" spans="1:24" ht="18.75">
      <c r="A599" s="32">
        <v>2</v>
      </c>
      <c r="B599" s="63"/>
      <c r="C599" s="632" t="s">
        <v>803</v>
      </c>
      <c r="I599" s="98" t="s">
        <v>796</v>
      </c>
      <c r="J599" s="1141">
        <v>21800</v>
      </c>
      <c r="K599" s="1347">
        <f>'[1]Офт.'!$G$29</f>
        <v>0.8200000000000001</v>
      </c>
      <c r="L599" s="1324">
        <f t="shared" si="69"/>
        <v>21800.82</v>
      </c>
      <c r="M599" s="1462">
        <f>J599/10000</f>
        <v>2.18</v>
      </c>
      <c r="N599" s="1463">
        <f>K599</f>
        <v>0.8200000000000001</v>
      </c>
      <c r="O599" s="1440">
        <f>SUM(M599:N599)</f>
        <v>3</v>
      </c>
      <c r="P599" s="23"/>
      <c r="Q599" s="821">
        <f>L599-22450</f>
        <v>-649.1800000000003</v>
      </c>
      <c r="W599" s="2523">
        <f t="shared" si="67"/>
        <v>21840</v>
      </c>
      <c r="X599" s="2538">
        <v>18200</v>
      </c>
    </row>
    <row r="600" spans="1:24" ht="18.75">
      <c r="A600" s="32"/>
      <c r="B600" s="63"/>
      <c r="C600" s="632" t="s">
        <v>804</v>
      </c>
      <c r="I600" s="98"/>
      <c r="J600" s="1141"/>
      <c r="K600" s="1347"/>
      <c r="L600" s="1324"/>
      <c r="M600" s="1462"/>
      <c r="N600" s="1465"/>
      <c r="O600" s="1440"/>
      <c r="P600" s="23"/>
      <c r="W600" s="2523">
        <f t="shared" si="67"/>
        <v>0</v>
      </c>
      <c r="X600" s="2538"/>
    </row>
    <row r="601" spans="1:24" ht="18.75">
      <c r="A601" s="32">
        <v>3</v>
      </c>
      <c r="B601" s="63"/>
      <c r="C601" s="632" t="s">
        <v>805</v>
      </c>
      <c r="I601" s="98" t="s">
        <v>796</v>
      </c>
      <c r="J601" s="1141">
        <v>32800</v>
      </c>
      <c r="K601" s="1347">
        <f>'[1]Офт.'!$G$39</f>
        <v>1.839</v>
      </c>
      <c r="L601" s="1324">
        <f t="shared" si="69"/>
        <v>32801.839</v>
      </c>
      <c r="M601" s="1462">
        <f>J601/10000</f>
        <v>3.28</v>
      </c>
      <c r="N601" s="1463">
        <f>K601</f>
        <v>1.839</v>
      </c>
      <c r="O601" s="1440">
        <f>SUM(M601:N601)</f>
        <v>5.119</v>
      </c>
      <c r="P601" s="23"/>
      <c r="Q601" s="821">
        <f>L601-32850</f>
        <v>-48.16100000000006</v>
      </c>
      <c r="W601" s="2523">
        <f t="shared" si="67"/>
        <v>32760</v>
      </c>
      <c r="X601" s="2538">
        <v>27300</v>
      </c>
    </row>
    <row r="602" spans="1:24" ht="18.75">
      <c r="A602" s="32">
        <v>4</v>
      </c>
      <c r="B602" s="63"/>
      <c r="C602" s="632" t="s">
        <v>806</v>
      </c>
      <c r="I602" s="98" t="s">
        <v>796</v>
      </c>
      <c r="J602" s="1141">
        <v>32800</v>
      </c>
      <c r="K602" s="1347">
        <f>'[1]Офт.'!$G$45</f>
        <v>1.1268</v>
      </c>
      <c r="L602" s="1324">
        <f t="shared" si="69"/>
        <v>32801.1268</v>
      </c>
      <c r="M602" s="1462">
        <f>J602/10000</f>
        <v>3.28</v>
      </c>
      <c r="N602" s="1463">
        <f>K602</f>
        <v>1.1268</v>
      </c>
      <c r="O602" s="1440">
        <f>SUM(M602:N602)</f>
        <v>4.4068</v>
      </c>
      <c r="P602" s="23"/>
      <c r="Q602" s="821">
        <f>L602-32900</f>
        <v>-98.87320000000182</v>
      </c>
      <c r="W602" s="2523">
        <f t="shared" si="67"/>
        <v>32760</v>
      </c>
      <c r="X602" s="2538">
        <v>27300</v>
      </c>
    </row>
    <row r="603" spans="1:24" ht="18.75">
      <c r="A603" s="32">
        <v>5</v>
      </c>
      <c r="B603" s="63"/>
      <c r="C603" s="632" t="s">
        <v>807</v>
      </c>
      <c r="I603" s="98" t="s">
        <v>796</v>
      </c>
      <c r="J603" s="1141">
        <v>32800</v>
      </c>
      <c r="K603" s="1347">
        <f>'[1]Офт.'!$G$50</f>
        <v>0.87</v>
      </c>
      <c r="L603" s="1324">
        <f t="shared" si="69"/>
        <v>32800.87</v>
      </c>
      <c r="M603" s="1462">
        <f>J603/10000</f>
        <v>3.28</v>
      </c>
      <c r="N603" s="1463">
        <f>K603</f>
        <v>0.87</v>
      </c>
      <c r="O603" s="1440">
        <f>SUM(M603:N603)</f>
        <v>4.1499999999999995</v>
      </c>
      <c r="P603" s="23"/>
      <c r="Q603" s="821">
        <f>L603-31900</f>
        <v>900.8700000000026</v>
      </c>
      <c r="W603" s="2523">
        <f t="shared" si="67"/>
        <v>32760</v>
      </c>
      <c r="X603" s="2538">
        <v>27300</v>
      </c>
    </row>
    <row r="604" spans="1:24" ht="18.75">
      <c r="A604" s="29"/>
      <c r="B604" s="63"/>
      <c r="I604" s="41"/>
      <c r="J604" s="1141"/>
      <c r="K604" s="1347"/>
      <c r="L604" s="1324"/>
      <c r="M604" s="1462"/>
      <c r="N604" s="1465"/>
      <c r="O604" s="1440"/>
      <c r="P604" s="23"/>
      <c r="W604" s="2523">
        <f t="shared" si="67"/>
        <v>0</v>
      </c>
      <c r="X604" s="2538"/>
    </row>
    <row r="605" spans="1:24" ht="19.5">
      <c r="A605" s="1011">
        <v>20</v>
      </c>
      <c r="B605" s="91" t="s">
        <v>196</v>
      </c>
      <c r="C605" s="1022"/>
      <c r="I605" s="41"/>
      <c r="J605" s="1141"/>
      <c r="K605" s="1347"/>
      <c r="L605" s="1324"/>
      <c r="M605" s="1462"/>
      <c r="N605" s="1465"/>
      <c r="O605" s="1440"/>
      <c r="P605" s="23"/>
      <c r="W605" s="2523">
        <f t="shared" si="67"/>
        <v>0</v>
      </c>
      <c r="X605" s="2538"/>
    </row>
    <row r="606" spans="1:24" ht="18.75">
      <c r="A606" s="32">
        <v>1</v>
      </c>
      <c r="B606" s="63"/>
      <c r="C606" s="632" t="s">
        <v>197</v>
      </c>
      <c r="D606" s="632"/>
      <c r="E606" s="632"/>
      <c r="F606" s="632"/>
      <c r="G606" s="632"/>
      <c r="H606" s="632"/>
      <c r="I606" s="59" t="s">
        <v>789</v>
      </c>
      <c r="J606" s="1141">
        <v>55700</v>
      </c>
      <c r="K606" s="1347">
        <v>0</v>
      </c>
      <c r="L606" s="1324">
        <f>J606+K606</f>
        <v>55700</v>
      </c>
      <c r="M606" s="1462">
        <f>J606/10000</f>
        <v>5.57</v>
      </c>
      <c r="N606" s="1463">
        <f>K606</f>
        <v>0</v>
      </c>
      <c r="O606" s="1440">
        <f>SUM(M606:N606)</f>
        <v>5.57</v>
      </c>
      <c r="P606" s="23"/>
      <c r="W606" s="2523">
        <f t="shared" si="67"/>
        <v>55680</v>
      </c>
      <c r="X606" s="2538">
        <v>46400</v>
      </c>
    </row>
    <row r="607" spans="1:24" ht="18.75">
      <c r="A607" s="32">
        <v>2</v>
      </c>
      <c r="B607" s="63"/>
      <c r="C607" s="632" t="s">
        <v>197</v>
      </c>
      <c r="D607" s="632"/>
      <c r="E607" s="632"/>
      <c r="F607" s="632"/>
      <c r="G607" s="632"/>
      <c r="H607" s="632"/>
      <c r="I607" s="59" t="s">
        <v>789</v>
      </c>
      <c r="J607" s="1141">
        <v>25600</v>
      </c>
      <c r="K607" s="1347">
        <v>0</v>
      </c>
      <c r="L607" s="1324">
        <f>J607+K607</f>
        <v>25600</v>
      </c>
      <c r="M607" s="1462">
        <f>J607/10000</f>
        <v>2.56</v>
      </c>
      <c r="N607" s="1463">
        <f>K607</f>
        <v>0</v>
      </c>
      <c r="O607" s="1440">
        <f>SUM(M607:N607)</f>
        <v>2.56</v>
      </c>
      <c r="P607" s="23"/>
      <c r="W607" s="2523">
        <f t="shared" si="67"/>
        <v>25560</v>
      </c>
      <c r="X607" s="2538">
        <v>21300</v>
      </c>
    </row>
    <row r="608" spans="1:24" ht="18.75" customHeight="1">
      <c r="A608" s="1038">
        <v>3</v>
      </c>
      <c r="B608" s="63"/>
      <c r="C608" s="2217" t="s">
        <v>198</v>
      </c>
      <c r="D608" s="2217"/>
      <c r="E608" s="2217"/>
      <c r="F608" s="2217"/>
      <c r="G608" s="2217"/>
      <c r="H608" s="2217"/>
      <c r="I608" s="1031" t="s">
        <v>190</v>
      </c>
      <c r="J608" s="1400">
        <v>75400</v>
      </c>
      <c r="K608" s="1391">
        <v>0</v>
      </c>
      <c r="L608" s="1346">
        <f>J608+K608</f>
        <v>75400</v>
      </c>
      <c r="M608" s="1477">
        <f>J608/10000</f>
        <v>7.54</v>
      </c>
      <c r="N608" s="1478">
        <f>K608</f>
        <v>0</v>
      </c>
      <c r="O608" s="1452">
        <f>SUM(M608:N608)</f>
        <v>7.54</v>
      </c>
      <c r="P608" s="23"/>
      <c r="W608" s="2523">
        <f t="shared" si="67"/>
        <v>75360</v>
      </c>
      <c r="X608" s="2542">
        <v>62800</v>
      </c>
    </row>
    <row r="609" spans="1:24" ht="35.25" customHeight="1">
      <c r="A609" s="1038">
        <v>4</v>
      </c>
      <c r="B609" s="63"/>
      <c r="C609" s="2220" t="s">
        <v>199</v>
      </c>
      <c r="D609" s="2220"/>
      <c r="E609" s="2220"/>
      <c r="F609" s="2220"/>
      <c r="G609" s="2220"/>
      <c r="H609" s="2220"/>
      <c r="I609" s="1031" t="s">
        <v>190</v>
      </c>
      <c r="J609" s="1400">
        <v>75400</v>
      </c>
      <c r="K609" s="1391">
        <v>0</v>
      </c>
      <c r="L609" s="1346">
        <f>J609+K609</f>
        <v>75400</v>
      </c>
      <c r="M609" s="1477">
        <f>J609/10000</f>
        <v>7.54</v>
      </c>
      <c r="N609" s="1478">
        <f>K609</f>
        <v>0</v>
      </c>
      <c r="O609" s="1452">
        <f>SUM(M609:N609)</f>
        <v>7.54</v>
      </c>
      <c r="P609" s="23"/>
      <c r="W609" s="2523">
        <f t="shared" si="67"/>
        <v>75360</v>
      </c>
      <c r="X609" s="2542">
        <v>62800</v>
      </c>
    </row>
    <row r="610" spans="1:24" ht="18.75">
      <c r="A610" s="29"/>
      <c r="B610" s="63"/>
      <c r="I610" s="41"/>
      <c r="J610" s="1133"/>
      <c r="K610" s="1347"/>
      <c r="L610" s="1324"/>
      <c r="M610" s="1482"/>
      <c r="N610" s="1483"/>
      <c r="O610" s="1452"/>
      <c r="P610" s="23"/>
      <c r="W610" s="2523">
        <f t="shared" si="67"/>
        <v>0</v>
      </c>
      <c r="X610" s="2538"/>
    </row>
    <row r="611" spans="1:24" ht="18.75">
      <c r="A611" s="1011">
        <v>21</v>
      </c>
      <c r="B611" s="91" t="s">
        <v>207</v>
      </c>
      <c r="C611" s="498"/>
      <c r="D611" s="36"/>
      <c r="E611" s="36"/>
      <c r="F611" s="36"/>
      <c r="G611" s="36"/>
      <c r="H611" s="36"/>
      <c r="I611" s="98" t="s">
        <v>796</v>
      </c>
      <c r="J611" s="1133">
        <v>79600</v>
      </c>
      <c r="K611" s="1347">
        <f>'[1]УФОК ВЛОК'!$I$38</f>
        <v>46900</v>
      </c>
      <c r="L611" s="1324">
        <f>SUM(J611:K611)</f>
        <v>126500</v>
      </c>
      <c r="M611" s="1462">
        <f>J611/10000</f>
        <v>7.96</v>
      </c>
      <c r="N611" s="1463">
        <f>K611/10000</f>
        <v>4.69</v>
      </c>
      <c r="O611" s="1440">
        <f>SUM(M611:N611)</f>
        <v>12.65</v>
      </c>
      <c r="P611" s="23"/>
      <c r="W611" s="2523">
        <f t="shared" si="67"/>
        <v>79560</v>
      </c>
      <c r="X611" s="2538">
        <v>66300</v>
      </c>
    </row>
    <row r="612" spans="1:24" ht="18.75">
      <c r="A612" s="29"/>
      <c r="B612" s="63"/>
      <c r="I612" s="98"/>
      <c r="J612" s="1133"/>
      <c r="K612" s="1347"/>
      <c r="L612" s="1324"/>
      <c r="M612" s="1484"/>
      <c r="N612" s="1465"/>
      <c r="O612" s="1440"/>
      <c r="P612" s="23"/>
      <c r="W612" s="2523">
        <f t="shared" si="67"/>
        <v>0</v>
      </c>
      <c r="X612" s="2538"/>
    </row>
    <row r="613" spans="1:24" ht="18.75">
      <c r="A613" s="1011">
        <v>22</v>
      </c>
      <c r="B613" s="91" t="s">
        <v>208</v>
      </c>
      <c r="C613" s="498"/>
      <c r="D613" s="36"/>
      <c r="E613" s="36"/>
      <c r="F613" s="36"/>
      <c r="I613" s="98" t="s">
        <v>796</v>
      </c>
      <c r="J613" s="1133">
        <v>79600</v>
      </c>
      <c r="K613" s="1347">
        <f>'[1]УФОК ВЛОК'!$I$21</f>
        <v>29300</v>
      </c>
      <c r="L613" s="1324">
        <f>SUM(J613:K613)</f>
        <v>108900</v>
      </c>
      <c r="M613" s="1462">
        <f>J613/10000</f>
        <v>7.96</v>
      </c>
      <c r="N613" s="1463">
        <f>K613/10000</f>
        <v>2.93</v>
      </c>
      <c r="O613" s="1440">
        <f>SUM(M613:N613)</f>
        <v>10.89</v>
      </c>
      <c r="P613" s="23"/>
      <c r="Q613" s="5">
        <v>-100</v>
      </c>
      <c r="W613" s="2523">
        <f t="shared" si="67"/>
        <v>79560</v>
      </c>
      <c r="X613" s="2538">
        <v>66300</v>
      </c>
    </row>
    <row r="614" spans="1:24" ht="18.75">
      <c r="A614" s="29"/>
      <c r="B614" s="63"/>
      <c r="I614" s="41"/>
      <c r="J614" s="1133"/>
      <c r="K614" s="1347"/>
      <c r="L614" s="1324"/>
      <c r="M614" s="1484"/>
      <c r="N614" s="1465"/>
      <c r="O614" s="1440"/>
      <c r="P614" s="23"/>
      <c r="Q614" s="822" t="s">
        <v>313</v>
      </c>
      <c r="W614" s="2523">
        <f t="shared" si="67"/>
        <v>0</v>
      </c>
      <c r="X614" s="2538"/>
    </row>
    <row r="615" spans="1:24" ht="18.75">
      <c r="A615" s="29"/>
      <c r="B615" s="63"/>
      <c r="I615" s="41"/>
      <c r="J615" s="1132"/>
      <c r="K615" s="1328"/>
      <c r="L615" s="1324"/>
      <c r="M615" s="1484"/>
      <c r="N615" s="1465"/>
      <c r="O615" s="1440"/>
      <c r="P615" s="23"/>
      <c r="W615" s="2523">
        <f t="shared" si="67"/>
        <v>0</v>
      </c>
      <c r="X615" s="2538"/>
    </row>
    <row r="616" spans="1:24" ht="23.25">
      <c r="A616" s="491">
        <v>21</v>
      </c>
      <c r="B616" s="2226" t="s">
        <v>780</v>
      </c>
      <c r="C616" s="2227"/>
      <c r="D616" s="2227"/>
      <c r="E616" s="2227"/>
      <c r="F616" s="2227"/>
      <c r="G616" s="2227"/>
      <c r="H616" s="2227"/>
      <c r="I616" s="92"/>
      <c r="J616" s="1133"/>
      <c r="K616" s="1347"/>
      <c r="L616" s="1324"/>
      <c r="M616" s="1484"/>
      <c r="N616" s="1465"/>
      <c r="O616" s="1440"/>
      <c r="P616" s="31"/>
      <c r="Q616"/>
      <c r="W616" s="2523">
        <f t="shared" si="67"/>
        <v>0</v>
      </c>
      <c r="X616" s="2543"/>
    </row>
    <row r="617" spans="1:24" ht="18.75">
      <c r="A617" s="15"/>
      <c r="B617" s="62"/>
      <c r="C617" s="35"/>
      <c r="D617" s="35"/>
      <c r="E617" s="35"/>
      <c r="F617" s="35"/>
      <c r="G617" s="35"/>
      <c r="H617" s="35"/>
      <c r="I617" s="92"/>
      <c r="J617" s="1133"/>
      <c r="K617" s="1347"/>
      <c r="L617" s="1324"/>
      <c r="M617" s="1484"/>
      <c r="N617" s="1465"/>
      <c r="O617" s="1440"/>
      <c r="P617" s="31"/>
      <c r="Q617"/>
      <c r="W617" s="2523">
        <f t="shared" si="67"/>
        <v>0</v>
      </c>
      <c r="X617" s="2543"/>
    </row>
    <row r="618" spans="1:26" s="95" customFormat="1" ht="18.75">
      <c r="A618" s="100" t="s">
        <v>781</v>
      </c>
      <c r="B618" s="93" t="str">
        <f>B169</f>
        <v>Профилактические и обязательные медицинские осмотры граждан</v>
      </c>
      <c r="C618" s="1023"/>
      <c r="D618" s="35"/>
      <c r="E618" s="2"/>
      <c r="F618" s="2"/>
      <c r="G618" s="2"/>
      <c r="H618" s="2"/>
      <c r="I618" s="1032"/>
      <c r="J618" s="1134"/>
      <c r="K618" s="1328"/>
      <c r="L618" s="1324"/>
      <c r="M618" s="1485"/>
      <c r="N618" s="1465"/>
      <c r="O618" s="1440"/>
      <c r="P618" s="31"/>
      <c r="R618" s="2509"/>
      <c r="S618" s="2509"/>
      <c r="T618" s="2509"/>
      <c r="U618" s="2509"/>
      <c r="V618" s="2509"/>
      <c r="W618" s="2523">
        <f t="shared" si="67"/>
        <v>0</v>
      </c>
      <c r="X618" s="2544"/>
      <c r="Y618" s="2509"/>
      <c r="Z618" s="2509"/>
    </row>
    <row r="619" spans="1:26" s="95" customFormat="1" ht="18.75">
      <c r="A619" s="96"/>
      <c r="B619" s="97"/>
      <c r="C619" s="1539" t="s">
        <v>606</v>
      </c>
      <c r="D619" s="17"/>
      <c r="E619" s="17"/>
      <c r="F619" s="17"/>
      <c r="G619" s="2"/>
      <c r="H619" s="2"/>
      <c r="I619" s="1032"/>
      <c r="J619" s="1135"/>
      <c r="K619" s="1328"/>
      <c r="L619" s="1324"/>
      <c r="M619" s="1484"/>
      <c r="N619" s="1465"/>
      <c r="O619" s="1440"/>
      <c r="P619" s="31"/>
      <c r="R619" s="2509"/>
      <c r="S619" s="2509"/>
      <c r="T619" s="2509"/>
      <c r="U619" s="2509"/>
      <c r="V619" s="2509"/>
      <c r="W619" s="2523">
        <f t="shared" si="67"/>
        <v>0</v>
      </c>
      <c r="X619" s="2538"/>
      <c r="Y619" s="2509"/>
      <c r="Z619" s="2509"/>
    </row>
    <row r="620" spans="1:26" s="95" customFormat="1" ht="18.75">
      <c r="A620" s="59"/>
      <c r="B620" s="75"/>
      <c r="C620" s="126" t="s">
        <v>407</v>
      </c>
      <c r="D620" s="17"/>
      <c r="E620" s="17"/>
      <c r="F620" s="17"/>
      <c r="G620" s="2"/>
      <c r="H620" s="2"/>
      <c r="I620" s="94" t="s">
        <v>580</v>
      </c>
      <c r="J620" s="1157">
        <v>45600</v>
      </c>
      <c r="K620" s="1347">
        <f aca="true" t="shared" si="70" ref="K620:K635">K173</f>
        <v>0.0155</v>
      </c>
      <c r="L620" s="1348">
        <f aca="true" t="shared" si="71" ref="L620:L635">SUM(J620:K620)</f>
        <v>45600.0155</v>
      </c>
      <c r="M620" s="1462">
        <f aca="true" t="shared" si="72" ref="M620:M635">J620/10000</f>
        <v>4.56</v>
      </c>
      <c r="N620" s="1463">
        <f aca="true" t="shared" si="73" ref="N620:N635">K620</f>
        <v>0.0155</v>
      </c>
      <c r="O620" s="1440">
        <f aca="true" t="shared" si="74" ref="O620:O635">SUM(M620:N620)</f>
        <v>4.5755</v>
      </c>
      <c r="P620" s="31"/>
      <c r="R620" s="2509"/>
      <c r="S620" s="2509"/>
      <c r="T620" s="2509"/>
      <c r="U620" s="2509"/>
      <c r="V620" s="2509"/>
      <c r="W620" s="2523">
        <f t="shared" si="67"/>
        <v>45600</v>
      </c>
      <c r="X620" s="2545">
        <v>38000</v>
      </c>
      <c r="Y620" s="2509"/>
      <c r="Z620" s="2509"/>
    </row>
    <row r="621" spans="1:26" s="95" customFormat="1" ht="18.75">
      <c r="A621" s="59"/>
      <c r="B621" s="75"/>
      <c r="C621" s="126" t="s">
        <v>581</v>
      </c>
      <c r="D621" s="17"/>
      <c r="E621" s="17"/>
      <c r="F621" s="17"/>
      <c r="G621" s="2"/>
      <c r="H621" s="2"/>
      <c r="I621" s="94" t="s">
        <v>580</v>
      </c>
      <c r="J621" s="1157">
        <v>45600</v>
      </c>
      <c r="K621" s="1347">
        <f t="shared" si="70"/>
        <v>0.00125</v>
      </c>
      <c r="L621" s="1348">
        <f t="shared" si="71"/>
        <v>45600.00125</v>
      </c>
      <c r="M621" s="1462">
        <f t="shared" si="72"/>
        <v>4.56</v>
      </c>
      <c r="N621" s="1463">
        <f t="shared" si="73"/>
        <v>0.00125</v>
      </c>
      <c r="O621" s="1440">
        <f t="shared" si="74"/>
        <v>4.561249999999999</v>
      </c>
      <c r="P621" s="31"/>
      <c r="R621" s="2509"/>
      <c r="S621" s="2509"/>
      <c r="T621" s="2509"/>
      <c r="U621" s="2509"/>
      <c r="V621" s="2509"/>
      <c r="W621" s="2523">
        <f t="shared" si="67"/>
        <v>45600</v>
      </c>
      <c r="X621" s="2545">
        <v>38000</v>
      </c>
      <c r="Y621" s="2509"/>
      <c r="Z621" s="2509"/>
    </row>
    <row r="622" spans="1:26" s="95" customFormat="1" ht="18.75">
      <c r="A622" s="59"/>
      <c r="B622" s="75"/>
      <c r="C622" s="126" t="s">
        <v>582</v>
      </c>
      <c r="D622" s="17"/>
      <c r="E622" s="17"/>
      <c r="F622" s="17"/>
      <c r="G622" s="2"/>
      <c r="H622" s="2"/>
      <c r="I622" s="94" t="s">
        <v>580</v>
      </c>
      <c r="J622" s="1157">
        <v>51000</v>
      </c>
      <c r="K622" s="1347">
        <f t="shared" si="70"/>
        <v>0.0023</v>
      </c>
      <c r="L622" s="1348">
        <f>SUM(J622:K622)</f>
        <v>51000.0023</v>
      </c>
      <c r="M622" s="1462">
        <f t="shared" si="72"/>
        <v>5.1</v>
      </c>
      <c r="N622" s="1463">
        <f t="shared" si="73"/>
        <v>0.0023</v>
      </c>
      <c r="O622" s="1440">
        <f t="shared" si="74"/>
        <v>5.1023</v>
      </c>
      <c r="P622" s="31"/>
      <c r="R622" s="2509"/>
      <c r="S622" s="2509"/>
      <c r="T622" s="2509"/>
      <c r="U622" s="2509"/>
      <c r="V622" s="2509"/>
      <c r="W622" s="2523">
        <f t="shared" si="67"/>
        <v>51000</v>
      </c>
      <c r="X622" s="2545">
        <v>42500</v>
      </c>
      <c r="Y622" s="2509"/>
      <c r="Z622" s="2509"/>
    </row>
    <row r="623" spans="1:26" s="95" customFormat="1" ht="18.75">
      <c r="A623" s="59"/>
      <c r="B623" s="75"/>
      <c r="C623" s="126" t="s">
        <v>583</v>
      </c>
      <c r="D623" s="17"/>
      <c r="E623" s="17"/>
      <c r="F623" s="17"/>
      <c r="G623" s="2"/>
      <c r="H623" s="2"/>
      <c r="I623" s="94" t="s">
        <v>580</v>
      </c>
      <c r="J623" s="1157">
        <v>45600</v>
      </c>
      <c r="K623" s="1347">
        <f t="shared" si="70"/>
        <v>0.018317</v>
      </c>
      <c r="L623" s="1348">
        <f t="shared" si="71"/>
        <v>45600.018317</v>
      </c>
      <c r="M623" s="1462">
        <f t="shared" si="72"/>
        <v>4.56</v>
      </c>
      <c r="N623" s="1463">
        <f t="shared" si="73"/>
        <v>0.018317</v>
      </c>
      <c r="O623" s="1440">
        <f t="shared" si="74"/>
        <v>4.578316999999999</v>
      </c>
      <c r="P623" s="31"/>
      <c r="R623" s="2509"/>
      <c r="S623" s="2509"/>
      <c r="T623" s="2509"/>
      <c r="U623" s="2509"/>
      <c r="V623" s="2509"/>
      <c r="W623" s="2523">
        <f t="shared" si="67"/>
        <v>45600</v>
      </c>
      <c r="X623" s="2545">
        <v>38000</v>
      </c>
      <c r="Y623" s="2509"/>
      <c r="Z623" s="2509"/>
    </row>
    <row r="624" spans="1:26" s="95" customFormat="1" ht="18.75">
      <c r="A624" s="59"/>
      <c r="B624" s="75"/>
      <c r="C624" s="126" t="s">
        <v>584</v>
      </c>
      <c r="D624" s="17"/>
      <c r="E624" s="17"/>
      <c r="F624" s="17"/>
      <c r="G624" s="2"/>
      <c r="H624" s="2"/>
      <c r="I624" s="94" t="s">
        <v>580</v>
      </c>
      <c r="J624" s="1157">
        <v>43700</v>
      </c>
      <c r="K624" s="1347">
        <f t="shared" si="70"/>
        <v>0.00125</v>
      </c>
      <c r="L624" s="1348">
        <f t="shared" si="71"/>
        <v>43700.00125</v>
      </c>
      <c r="M624" s="1462">
        <f t="shared" si="72"/>
        <v>4.37</v>
      </c>
      <c r="N624" s="1463">
        <f t="shared" si="73"/>
        <v>0.00125</v>
      </c>
      <c r="O624" s="1440">
        <f t="shared" si="74"/>
        <v>4.37125</v>
      </c>
      <c r="P624" s="31"/>
      <c r="R624" s="2509"/>
      <c r="S624" s="2509"/>
      <c r="T624" s="2509"/>
      <c r="U624" s="2509"/>
      <c r="V624" s="2509"/>
      <c r="W624" s="2523">
        <f t="shared" si="67"/>
        <v>43680</v>
      </c>
      <c r="X624" s="2545">
        <v>36400</v>
      </c>
      <c r="Y624" s="2509"/>
      <c r="Z624" s="2509"/>
    </row>
    <row r="625" spans="1:26" s="95" customFormat="1" ht="18.75">
      <c r="A625" s="59"/>
      <c r="B625" s="75"/>
      <c r="C625" s="126" t="s">
        <v>585</v>
      </c>
      <c r="D625" s="17"/>
      <c r="E625" s="17"/>
      <c r="F625" s="17"/>
      <c r="G625" s="2"/>
      <c r="H625" s="2"/>
      <c r="I625" s="94" t="s">
        <v>580</v>
      </c>
      <c r="J625" s="1157">
        <v>73900</v>
      </c>
      <c r="K625" s="1347">
        <f t="shared" si="70"/>
        <v>1.7222</v>
      </c>
      <c r="L625" s="1348">
        <f t="shared" si="71"/>
        <v>73901.7222</v>
      </c>
      <c r="M625" s="1462">
        <f t="shared" si="72"/>
        <v>7.39</v>
      </c>
      <c r="N625" s="1463">
        <f t="shared" si="73"/>
        <v>1.7222</v>
      </c>
      <c r="O625" s="1440">
        <f t="shared" si="74"/>
        <v>9.1122</v>
      </c>
      <c r="P625" s="31"/>
      <c r="R625" s="2509"/>
      <c r="S625" s="2509"/>
      <c r="T625" s="2509"/>
      <c r="U625" s="2509"/>
      <c r="V625" s="2509"/>
      <c r="W625" s="2523">
        <f t="shared" si="67"/>
        <v>73920</v>
      </c>
      <c r="X625" s="2545">
        <v>61600</v>
      </c>
      <c r="Y625" s="2509"/>
      <c r="Z625" s="2509"/>
    </row>
    <row r="626" spans="1:26" s="95" customFormat="1" ht="18.75">
      <c r="A626" s="59"/>
      <c r="B626" s="75"/>
      <c r="C626" s="126" t="s">
        <v>586</v>
      </c>
      <c r="D626" s="17"/>
      <c r="E626" s="17"/>
      <c r="F626" s="17"/>
      <c r="G626" s="2"/>
      <c r="H626" s="2"/>
      <c r="I626" s="94" t="s">
        <v>580</v>
      </c>
      <c r="J626" s="1157">
        <v>62500</v>
      </c>
      <c r="K626" s="1347">
        <f t="shared" si="70"/>
        <v>0.00295</v>
      </c>
      <c r="L626" s="1348">
        <f t="shared" si="71"/>
        <v>62500.00295</v>
      </c>
      <c r="M626" s="1462">
        <f t="shared" si="72"/>
        <v>6.25</v>
      </c>
      <c r="N626" s="1463">
        <f t="shared" si="73"/>
        <v>0.00295</v>
      </c>
      <c r="O626" s="1440">
        <f t="shared" si="74"/>
        <v>6.25295</v>
      </c>
      <c r="P626" s="31"/>
      <c r="R626" s="2509"/>
      <c r="S626" s="2509"/>
      <c r="T626" s="2509"/>
      <c r="U626" s="2509"/>
      <c r="V626" s="2509"/>
      <c r="W626" s="2523">
        <f t="shared" si="67"/>
        <v>62520</v>
      </c>
      <c r="X626" s="2545">
        <v>52100</v>
      </c>
      <c r="Y626" s="2509"/>
      <c r="Z626" s="2509"/>
    </row>
    <row r="627" spans="1:26" s="95" customFormat="1" ht="18.75">
      <c r="A627" s="59"/>
      <c r="B627" s="75"/>
      <c r="C627" s="126" t="s">
        <v>587</v>
      </c>
      <c r="D627" s="17"/>
      <c r="E627" s="17"/>
      <c r="F627" s="17"/>
      <c r="G627" s="2"/>
      <c r="H627" s="2"/>
      <c r="I627" s="94" t="s">
        <v>580</v>
      </c>
      <c r="J627" s="1157">
        <v>68800</v>
      </c>
      <c r="K627" s="1347">
        <f t="shared" si="70"/>
        <v>0.002</v>
      </c>
      <c r="L627" s="1348">
        <f>SUM(J627:K627)</f>
        <v>68800.002</v>
      </c>
      <c r="M627" s="1462">
        <f t="shared" si="72"/>
        <v>6.88</v>
      </c>
      <c r="N627" s="1463">
        <f t="shared" si="73"/>
        <v>0.002</v>
      </c>
      <c r="O627" s="1440">
        <f t="shared" si="74"/>
        <v>6.882</v>
      </c>
      <c r="P627" s="31"/>
      <c r="R627" s="2509"/>
      <c r="S627" s="2509"/>
      <c r="T627" s="2509"/>
      <c r="U627" s="2509"/>
      <c r="V627" s="2509"/>
      <c r="W627" s="2523">
        <f t="shared" si="67"/>
        <v>68760</v>
      </c>
      <c r="X627" s="2545">
        <v>57300</v>
      </c>
      <c r="Y627" s="2509"/>
      <c r="Z627" s="2509"/>
    </row>
    <row r="628" spans="1:26" s="95" customFormat="1" ht="18.75">
      <c r="A628" s="59"/>
      <c r="B628" s="75"/>
      <c r="C628" s="126" t="s">
        <v>588</v>
      </c>
      <c r="D628" s="17"/>
      <c r="E628" s="17"/>
      <c r="F628" s="17"/>
      <c r="G628" s="2"/>
      <c r="H628" s="2"/>
      <c r="I628" s="94" t="s">
        <v>580</v>
      </c>
      <c r="J628" s="1157">
        <v>63600</v>
      </c>
      <c r="K628" s="1347">
        <f t="shared" si="70"/>
        <v>0.7785</v>
      </c>
      <c r="L628" s="1348">
        <f t="shared" si="71"/>
        <v>63600.7785</v>
      </c>
      <c r="M628" s="1462">
        <f t="shared" si="72"/>
        <v>6.36</v>
      </c>
      <c r="N628" s="1463">
        <f t="shared" si="73"/>
        <v>0.7785</v>
      </c>
      <c r="O628" s="1440">
        <f t="shared" si="74"/>
        <v>7.1385000000000005</v>
      </c>
      <c r="P628" s="31"/>
      <c r="R628" s="2509"/>
      <c r="S628" s="2509"/>
      <c r="T628" s="2509"/>
      <c r="U628" s="2509"/>
      <c r="V628" s="2509"/>
      <c r="W628" s="2523">
        <f t="shared" si="67"/>
        <v>63600</v>
      </c>
      <c r="X628" s="2545">
        <v>53000</v>
      </c>
      <c r="Y628" s="2509"/>
      <c r="Z628" s="2509"/>
    </row>
    <row r="629" spans="1:26" s="95" customFormat="1" ht="18.75">
      <c r="A629" s="99"/>
      <c r="B629" s="75"/>
      <c r="C629" s="126" t="s">
        <v>589</v>
      </c>
      <c r="D629" s="17"/>
      <c r="E629" s="17"/>
      <c r="F629" s="17"/>
      <c r="G629" s="2"/>
      <c r="H629" s="2"/>
      <c r="I629" s="94" t="s">
        <v>580</v>
      </c>
      <c r="J629" s="1157">
        <v>66000</v>
      </c>
      <c r="K629" s="1347">
        <f t="shared" si="70"/>
        <v>0.8834345000000001</v>
      </c>
      <c r="L629" s="1348">
        <f t="shared" si="71"/>
        <v>66000.8834345</v>
      </c>
      <c r="M629" s="1462">
        <f t="shared" si="72"/>
        <v>6.6</v>
      </c>
      <c r="N629" s="1463">
        <f t="shared" si="73"/>
        <v>0.8834345000000001</v>
      </c>
      <c r="O629" s="1440">
        <f t="shared" si="74"/>
        <v>7.4834344999999995</v>
      </c>
      <c r="P629" s="31"/>
      <c r="R629" s="2509"/>
      <c r="S629" s="2509"/>
      <c r="T629" s="2509"/>
      <c r="U629" s="2509"/>
      <c r="V629" s="2509"/>
      <c r="W629" s="2523">
        <f t="shared" si="67"/>
        <v>66000</v>
      </c>
      <c r="X629" s="2545">
        <v>55000</v>
      </c>
      <c r="Y629" s="2509"/>
      <c r="Z629" s="2509"/>
    </row>
    <row r="630" spans="1:26" s="95" customFormat="1" ht="18.75">
      <c r="A630" s="99"/>
      <c r="B630" s="75"/>
      <c r="C630" s="126" t="s">
        <v>590</v>
      </c>
      <c r="D630" s="17"/>
      <c r="E630" s="17"/>
      <c r="F630" s="17"/>
      <c r="G630" s="2"/>
      <c r="H630" s="2"/>
      <c r="I630" s="94" t="s">
        <v>580</v>
      </c>
      <c r="J630" s="1157">
        <v>47500</v>
      </c>
      <c r="K630" s="1347">
        <f t="shared" si="70"/>
        <v>1.1882000000000001</v>
      </c>
      <c r="L630" s="1348">
        <f t="shared" si="71"/>
        <v>47501.1882</v>
      </c>
      <c r="M630" s="1462">
        <f t="shared" si="72"/>
        <v>4.75</v>
      </c>
      <c r="N630" s="1463">
        <f t="shared" si="73"/>
        <v>1.1882000000000001</v>
      </c>
      <c r="O630" s="1440">
        <f t="shared" si="74"/>
        <v>5.9382</v>
      </c>
      <c r="P630" s="31"/>
      <c r="R630" s="2509"/>
      <c r="S630" s="2509"/>
      <c r="T630" s="2509"/>
      <c r="U630" s="2509"/>
      <c r="V630" s="2509"/>
      <c r="W630" s="2523">
        <f t="shared" si="67"/>
        <v>47520</v>
      </c>
      <c r="X630" s="2545">
        <v>39600</v>
      </c>
      <c r="Y630" s="2509"/>
      <c r="Z630" s="2509"/>
    </row>
    <row r="631" spans="1:26" s="95" customFormat="1" ht="18.75">
      <c r="A631" s="99"/>
      <c r="B631" s="75"/>
      <c r="C631" s="126" t="s">
        <v>591</v>
      </c>
      <c r="D631" s="17"/>
      <c r="E631" s="17"/>
      <c r="F631" s="17"/>
      <c r="G631" s="2"/>
      <c r="H631" s="2"/>
      <c r="I631" s="94" t="s">
        <v>580</v>
      </c>
      <c r="J631" s="1157">
        <v>56800</v>
      </c>
      <c r="K631" s="1347">
        <f t="shared" si="70"/>
        <v>0.002</v>
      </c>
      <c r="L631" s="1348">
        <f>SUM(J631:K631)</f>
        <v>56800.002</v>
      </c>
      <c r="M631" s="1462">
        <f t="shared" si="72"/>
        <v>5.68</v>
      </c>
      <c r="N631" s="1463">
        <f t="shared" si="73"/>
        <v>0.002</v>
      </c>
      <c r="O631" s="1440">
        <f t="shared" si="74"/>
        <v>5.6819999999999995</v>
      </c>
      <c r="P631" s="31"/>
      <c r="R631" s="2509"/>
      <c r="S631" s="2509"/>
      <c r="T631" s="2509"/>
      <c r="U631" s="2509"/>
      <c r="V631" s="2509"/>
      <c r="W631" s="2523">
        <f aca="true" t="shared" si="75" ref="W631:W694">X631*1.2</f>
        <v>56760</v>
      </c>
      <c r="X631" s="2545">
        <v>47300</v>
      </c>
      <c r="Y631" s="2509"/>
      <c r="Z631" s="2509"/>
    </row>
    <row r="632" spans="1:26" s="95" customFormat="1" ht="18.75">
      <c r="A632" s="99"/>
      <c r="B632" s="75"/>
      <c r="C632" s="126" t="s">
        <v>342</v>
      </c>
      <c r="D632" s="17"/>
      <c r="E632" s="17"/>
      <c r="F632" s="17"/>
      <c r="G632" s="2"/>
      <c r="H632" s="2"/>
      <c r="I632" s="94" t="s">
        <v>580</v>
      </c>
      <c r="J632" s="1157">
        <v>62000</v>
      </c>
      <c r="K632" s="1347">
        <f t="shared" si="70"/>
        <v>0.002</v>
      </c>
      <c r="L632" s="1348">
        <f>SUM(J632:K632)</f>
        <v>62000.002</v>
      </c>
      <c r="M632" s="1462">
        <f t="shared" si="72"/>
        <v>6.2</v>
      </c>
      <c r="N632" s="1463">
        <f t="shared" si="73"/>
        <v>0.002</v>
      </c>
      <c r="O632" s="1440">
        <f t="shared" si="74"/>
        <v>6.202</v>
      </c>
      <c r="P632" s="31"/>
      <c r="R632" s="2509"/>
      <c r="S632" s="2509"/>
      <c r="T632" s="2509"/>
      <c r="U632" s="2509"/>
      <c r="V632" s="2509"/>
      <c r="W632" s="2523">
        <f t="shared" si="75"/>
        <v>62040</v>
      </c>
      <c r="X632" s="2545">
        <v>51700</v>
      </c>
      <c r="Y632" s="2509"/>
      <c r="Z632" s="2509"/>
    </row>
    <row r="633" spans="1:26" s="95" customFormat="1" ht="18.75">
      <c r="A633" s="99"/>
      <c r="B633" s="75"/>
      <c r="C633" s="126" t="s">
        <v>592</v>
      </c>
      <c r="D633" s="17"/>
      <c r="E633" s="17"/>
      <c r="F633" s="17"/>
      <c r="G633" s="2"/>
      <c r="H633" s="2"/>
      <c r="I633" s="94" t="s">
        <v>580</v>
      </c>
      <c r="J633" s="1157">
        <v>58300</v>
      </c>
      <c r="K633" s="1347">
        <f t="shared" si="70"/>
        <v>1.0579345</v>
      </c>
      <c r="L633" s="1348">
        <f t="shared" si="71"/>
        <v>58301.0579345</v>
      </c>
      <c r="M633" s="1462">
        <f t="shared" si="72"/>
        <v>5.83</v>
      </c>
      <c r="N633" s="1463">
        <f t="shared" si="73"/>
        <v>1.0579345</v>
      </c>
      <c r="O633" s="1440">
        <f t="shared" si="74"/>
        <v>6.8879345</v>
      </c>
      <c r="P633" s="31"/>
      <c r="Q633" s="823">
        <f>L633-34800</f>
        <v>23501.0579345</v>
      </c>
      <c r="R633" s="2509"/>
      <c r="S633" s="2509"/>
      <c r="T633" s="2509"/>
      <c r="U633" s="2509"/>
      <c r="V633" s="2509"/>
      <c r="W633" s="2523">
        <f t="shared" si="75"/>
        <v>58320</v>
      </c>
      <c r="X633" s="2545">
        <v>48600</v>
      </c>
      <c r="Y633" s="2509"/>
      <c r="Z633" s="2509"/>
    </row>
    <row r="634" spans="1:26" s="95" customFormat="1" ht="18.75">
      <c r="A634" s="99"/>
      <c r="B634" s="75"/>
      <c r="C634" s="126" t="s">
        <v>593</v>
      </c>
      <c r="D634" s="17"/>
      <c r="E634" s="17"/>
      <c r="F634" s="17"/>
      <c r="G634" s="2"/>
      <c r="H634" s="2"/>
      <c r="I634" s="94" t="s">
        <v>594</v>
      </c>
      <c r="J634" s="1157">
        <v>61200</v>
      </c>
      <c r="K634" s="1347">
        <f t="shared" si="70"/>
        <v>0</v>
      </c>
      <c r="L634" s="1348">
        <f t="shared" si="71"/>
        <v>61200</v>
      </c>
      <c r="M634" s="1462">
        <f t="shared" si="72"/>
        <v>6.12</v>
      </c>
      <c r="N634" s="1463">
        <f t="shared" si="73"/>
        <v>0</v>
      </c>
      <c r="O634" s="1440">
        <f t="shared" si="74"/>
        <v>6.12</v>
      </c>
      <c r="P634" s="31"/>
      <c r="R634" s="2509"/>
      <c r="S634" s="2509"/>
      <c r="T634" s="2509"/>
      <c r="U634" s="2509"/>
      <c r="V634" s="2509"/>
      <c r="W634" s="2523">
        <f t="shared" si="75"/>
        <v>61200</v>
      </c>
      <c r="X634" s="2545">
        <v>51000</v>
      </c>
      <c r="Y634" s="2509"/>
      <c r="Z634" s="2509"/>
    </row>
    <row r="635" spans="1:26" s="95" customFormat="1" ht="18.75">
      <c r="A635" s="99"/>
      <c r="B635" s="75"/>
      <c r="C635" s="126" t="s">
        <v>613</v>
      </c>
      <c r="D635" s="17"/>
      <c r="E635" s="17"/>
      <c r="F635" s="17"/>
      <c r="G635" s="2"/>
      <c r="H635" s="2"/>
      <c r="I635" s="94" t="s">
        <v>594</v>
      </c>
      <c r="J635" s="1157">
        <v>20800</v>
      </c>
      <c r="K635" s="1347">
        <f t="shared" si="70"/>
        <v>0</v>
      </c>
      <c r="L635" s="1348">
        <f t="shared" si="71"/>
        <v>20800</v>
      </c>
      <c r="M635" s="1462">
        <f t="shared" si="72"/>
        <v>2.08</v>
      </c>
      <c r="N635" s="1463">
        <f t="shared" si="73"/>
        <v>0</v>
      </c>
      <c r="O635" s="1440">
        <f t="shared" si="74"/>
        <v>2.08</v>
      </c>
      <c r="P635" s="31"/>
      <c r="R635" s="2509"/>
      <c r="S635" s="2509"/>
      <c r="T635" s="2509"/>
      <c r="U635" s="2509"/>
      <c r="V635" s="2509"/>
      <c r="W635" s="2523">
        <f t="shared" si="75"/>
        <v>20760</v>
      </c>
      <c r="X635" s="2545">
        <v>17300</v>
      </c>
      <c r="Y635" s="2509"/>
      <c r="Z635" s="2509"/>
    </row>
    <row r="636" spans="1:26" s="95" customFormat="1" ht="18.75">
      <c r="A636" s="96"/>
      <c r="B636" s="97"/>
      <c r="C636" s="1539" t="s">
        <v>596</v>
      </c>
      <c r="D636" s="17"/>
      <c r="E636" s="17"/>
      <c r="F636" s="17"/>
      <c r="G636" s="2"/>
      <c r="H636" s="2"/>
      <c r="I636" s="1032"/>
      <c r="J636" s="1157"/>
      <c r="K636" s="1347"/>
      <c r="L636" s="1324"/>
      <c r="M636" s="1486"/>
      <c r="N636" s="1465"/>
      <c r="O636" s="1440"/>
      <c r="P636" s="31"/>
      <c r="R636" s="2509"/>
      <c r="S636" s="2509"/>
      <c r="T636" s="2509"/>
      <c r="U636" s="2509"/>
      <c r="V636" s="2509"/>
      <c r="W636" s="2523">
        <f t="shared" si="75"/>
        <v>0</v>
      </c>
      <c r="X636" s="2545"/>
      <c r="Y636" s="2509"/>
      <c r="Z636" s="2509"/>
    </row>
    <row r="637" spans="1:26" s="95" customFormat="1" ht="18.75">
      <c r="A637" s="59"/>
      <c r="B637" s="75"/>
      <c r="C637" s="126" t="s">
        <v>597</v>
      </c>
      <c r="D637" s="17"/>
      <c r="E637" s="17"/>
      <c r="F637" s="17"/>
      <c r="G637" s="2"/>
      <c r="H637" s="2"/>
      <c r="I637" s="1032" t="s">
        <v>573</v>
      </c>
      <c r="J637" s="1157">
        <v>32800</v>
      </c>
      <c r="K637" s="1347">
        <f>K190</f>
        <v>0.002</v>
      </c>
      <c r="L637" s="1348">
        <f>SUM(J637:K637)</f>
        <v>32800.002</v>
      </c>
      <c r="M637" s="1462">
        <f>J637/10000</f>
        <v>3.28</v>
      </c>
      <c r="N637" s="1463">
        <f>K637</f>
        <v>0.002</v>
      </c>
      <c r="O637" s="1440">
        <f>SUM(M637:N637)</f>
        <v>3.2819999999999996</v>
      </c>
      <c r="P637" s="31"/>
      <c r="R637" s="2509"/>
      <c r="S637" s="2509"/>
      <c r="T637" s="2509"/>
      <c r="U637" s="2509"/>
      <c r="V637" s="2509"/>
      <c r="W637" s="2523">
        <f t="shared" si="75"/>
        <v>32760</v>
      </c>
      <c r="X637" s="2545">
        <v>27300</v>
      </c>
      <c r="Y637" s="2509"/>
      <c r="Z637" s="2509"/>
    </row>
    <row r="638" spans="1:26" s="95" customFormat="1" ht="18.75">
      <c r="A638" s="59"/>
      <c r="B638" s="75"/>
      <c r="C638" s="126" t="s">
        <v>598</v>
      </c>
      <c r="D638" s="17"/>
      <c r="E638" s="17"/>
      <c r="F638" s="17"/>
      <c r="G638" s="2"/>
      <c r="H638" s="2"/>
      <c r="I638" s="1032" t="s">
        <v>573</v>
      </c>
      <c r="J638" s="1157">
        <v>13600</v>
      </c>
      <c r="K638" s="1347">
        <f>K191</f>
        <v>0.0035</v>
      </c>
      <c r="L638" s="1348">
        <f>SUM(J638:K638)</f>
        <v>13600.0035</v>
      </c>
      <c r="M638" s="1462">
        <f>J638/10000</f>
        <v>1.36</v>
      </c>
      <c r="N638" s="1463">
        <f>K638</f>
        <v>0.0035</v>
      </c>
      <c r="O638" s="1440">
        <f>SUM(M638:N638)</f>
        <v>1.3635000000000002</v>
      </c>
      <c r="P638" s="31"/>
      <c r="R638" s="2509"/>
      <c r="S638" s="2509"/>
      <c r="T638" s="2509"/>
      <c r="U638" s="2509"/>
      <c r="V638" s="2509"/>
      <c r="W638" s="2523">
        <f t="shared" si="75"/>
        <v>13560</v>
      </c>
      <c r="X638" s="2545">
        <v>11300</v>
      </c>
      <c r="Y638" s="2509"/>
      <c r="Z638" s="2509"/>
    </row>
    <row r="639" spans="1:26" s="95" customFormat="1" ht="18.75">
      <c r="A639" s="59"/>
      <c r="B639" s="75"/>
      <c r="C639" s="126" t="s">
        <v>599</v>
      </c>
      <c r="D639" s="17"/>
      <c r="E639" s="17"/>
      <c r="F639" s="17"/>
      <c r="G639" s="2"/>
      <c r="H639" s="2"/>
      <c r="I639" s="1032" t="s">
        <v>573</v>
      </c>
      <c r="J639" s="1157">
        <v>135400</v>
      </c>
      <c r="K639" s="1347">
        <f>K192</f>
        <v>0.006500000000000001</v>
      </c>
      <c r="L639" s="1348">
        <f>SUM(J639:K639)</f>
        <v>135400.0065</v>
      </c>
      <c r="M639" s="1462">
        <f>J639/10000</f>
        <v>13.54</v>
      </c>
      <c r="N639" s="1463">
        <f>K639</f>
        <v>0.006500000000000001</v>
      </c>
      <c r="O639" s="1440">
        <f>SUM(M639:N639)</f>
        <v>13.5465</v>
      </c>
      <c r="P639" s="31"/>
      <c r="R639" s="2509"/>
      <c r="S639" s="2509"/>
      <c r="T639" s="2509"/>
      <c r="U639" s="2509"/>
      <c r="V639" s="2509"/>
      <c r="W639" s="2523">
        <f t="shared" si="75"/>
        <v>135360</v>
      </c>
      <c r="X639" s="2545">
        <v>112800</v>
      </c>
      <c r="Y639" s="2509"/>
      <c r="Z639" s="2509"/>
    </row>
    <row r="640" spans="1:26" s="95" customFormat="1" ht="18.75">
      <c r="A640" s="59"/>
      <c r="B640" s="75"/>
      <c r="C640" s="126" t="s">
        <v>600</v>
      </c>
      <c r="D640" s="17"/>
      <c r="E640" s="17"/>
      <c r="F640" s="17"/>
      <c r="G640" s="2"/>
      <c r="H640" s="2"/>
      <c r="I640" s="1032" t="s">
        <v>573</v>
      </c>
      <c r="J640" s="1157">
        <v>50500</v>
      </c>
      <c r="K640" s="1347">
        <f>K193</f>
        <v>0.002</v>
      </c>
      <c r="L640" s="1348">
        <f>SUM(J640:K640)</f>
        <v>50500.002</v>
      </c>
      <c r="M640" s="1462">
        <f>J640/10000</f>
        <v>5.05</v>
      </c>
      <c r="N640" s="1463">
        <f>K640</f>
        <v>0.002</v>
      </c>
      <c r="O640" s="1440">
        <f>SUM(M640:N640)</f>
        <v>5.052</v>
      </c>
      <c r="P640" s="31"/>
      <c r="R640" s="2509"/>
      <c r="S640" s="2509"/>
      <c r="T640" s="2509"/>
      <c r="U640" s="2509"/>
      <c r="V640" s="2509"/>
      <c r="W640" s="2523">
        <f t="shared" si="75"/>
        <v>50520</v>
      </c>
      <c r="X640" s="2545">
        <v>42100</v>
      </c>
      <c r="Y640" s="2509"/>
      <c r="Z640" s="2509"/>
    </row>
    <row r="641" spans="1:26" s="95" customFormat="1" ht="18.75">
      <c r="A641" s="59"/>
      <c r="B641" s="75"/>
      <c r="C641" s="126" t="s">
        <v>601</v>
      </c>
      <c r="D641" s="17"/>
      <c r="E641" s="17"/>
      <c r="F641" s="17"/>
      <c r="G641" s="2"/>
      <c r="H641" s="2"/>
      <c r="I641" s="1032" t="s">
        <v>573</v>
      </c>
      <c r="J641" s="1157">
        <v>4400</v>
      </c>
      <c r="K641" s="1347">
        <f>K194</f>
        <v>0.0085</v>
      </c>
      <c r="L641" s="1348">
        <f>SUM(J641:K641)</f>
        <v>4400.0085</v>
      </c>
      <c r="M641" s="1462">
        <f>J641/10000</f>
        <v>0.44</v>
      </c>
      <c r="N641" s="1463">
        <f>K641</f>
        <v>0.0085</v>
      </c>
      <c r="O641" s="1440">
        <f>SUM(M641:N641)</f>
        <v>0.4485</v>
      </c>
      <c r="P641" s="31"/>
      <c r="R641" s="2509"/>
      <c r="S641" s="2509"/>
      <c r="T641" s="2509"/>
      <c r="U641" s="2509"/>
      <c r="V641" s="2509"/>
      <c r="W641" s="2523">
        <f t="shared" si="75"/>
        <v>4440</v>
      </c>
      <c r="X641" s="2545">
        <v>3700</v>
      </c>
      <c r="Y641" s="2509"/>
      <c r="Z641" s="2509"/>
    </row>
    <row r="642" spans="1:26" s="95" customFormat="1" ht="18.75">
      <c r="A642" s="59"/>
      <c r="B642" s="75"/>
      <c r="C642" s="17"/>
      <c r="D642" s="17"/>
      <c r="E642" s="17"/>
      <c r="F642" s="2"/>
      <c r="G642" s="2"/>
      <c r="H642" s="2"/>
      <c r="I642" s="41"/>
      <c r="J642" s="1137"/>
      <c r="K642" s="1328"/>
      <c r="L642" s="1348"/>
      <c r="M642" s="1487"/>
      <c r="N642" s="1465"/>
      <c r="O642" s="1440"/>
      <c r="P642" s="31"/>
      <c r="R642" s="2509"/>
      <c r="S642" s="2509"/>
      <c r="T642" s="2509"/>
      <c r="U642" s="2509"/>
      <c r="V642" s="2509"/>
      <c r="W642" s="2523">
        <f t="shared" si="75"/>
        <v>0</v>
      </c>
      <c r="X642" s="2546"/>
      <c r="Y642" s="2509"/>
      <c r="Z642" s="2509"/>
    </row>
    <row r="643" spans="1:26" s="137" customFormat="1" ht="18">
      <c r="A643" s="1144" t="s">
        <v>782</v>
      </c>
      <c r="B643" s="134"/>
      <c r="C643" s="635" t="s">
        <v>608</v>
      </c>
      <c r="D643" s="55"/>
      <c r="E643" s="55"/>
      <c r="F643" s="55"/>
      <c r="G643" s="135"/>
      <c r="H643" s="135"/>
      <c r="I643" s="1033"/>
      <c r="J643" s="1138"/>
      <c r="K643" s="1349"/>
      <c r="L643" s="1350"/>
      <c r="M643" s="1488"/>
      <c r="N643" s="1489"/>
      <c r="O643" s="1457"/>
      <c r="P643" s="136"/>
      <c r="R643" s="2533"/>
      <c r="S643" s="2533"/>
      <c r="T643" s="2533"/>
      <c r="U643" s="2533"/>
      <c r="V643" s="2533"/>
      <c r="W643" s="2523">
        <f t="shared" si="75"/>
        <v>0</v>
      </c>
      <c r="X643" s="2547"/>
      <c r="Y643" s="2533"/>
      <c r="Z643" s="2533"/>
    </row>
    <row r="644" spans="1:26" s="137" customFormat="1" ht="18">
      <c r="A644" s="90"/>
      <c r="B644" s="134"/>
      <c r="C644" s="635" t="s">
        <v>783</v>
      </c>
      <c r="D644" s="55"/>
      <c r="E644" s="135"/>
      <c r="F644" s="135"/>
      <c r="G644" s="135"/>
      <c r="H644" s="135"/>
      <c r="I644" s="1033"/>
      <c r="J644" s="1138"/>
      <c r="K644" s="1349"/>
      <c r="L644" s="1350"/>
      <c r="M644" s="1488"/>
      <c r="N644" s="1489"/>
      <c r="O644" s="1457"/>
      <c r="P644" s="136"/>
      <c r="R644" s="2533"/>
      <c r="S644" s="2533"/>
      <c r="T644" s="2533"/>
      <c r="U644" s="2533"/>
      <c r="V644" s="2533"/>
      <c r="W644" s="2523">
        <f t="shared" si="75"/>
        <v>0</v>
      </c>
      <c r="X644" s="2547"/>
      <c r="Y644" s="2533"/>
      <c r="Z644" s="2533"/>
    </row>
    <row r="645" spans="1:26" s="137" customFormat="1" ht="18">
      <c r="A645" s="90"/>
      <c r="B645" s="134"/>
      <c r="C645" s="635" t="s">
        <v>784</v>
      </c>
      <c r="D645" s="55"/>
      <c r="E645" s="135"/>
      <c r="F645" s="135"/>
      <c r="G645" s="135"/>
      <c r="H645" s="135"/>
      <c r="I645" s="1033"/>
      <c r="J645" s="1139"/>
      <c r="K645" s="1349"/>
      <c r="L645" s="1350"/>
      <c r="M645" s="1490"/>
      <c r="N645" s="1489"/>
      <c r="O645" s="1457"/>
      <c r="P645" s="136"/>
      <c r="R645" s="2533"/>
      <c r="S645" s="2533"/>
      <c r="T645" s="2533"/>
      <c r="U645" s="2533"/>
      <c r="V645" s="2533"/>
      <c r="W645" s="2523">
        <f t="shared" si="75"/>
        <v>0</v>
      </c>
      <c r="X645" s="2548"/>
      <c r="Y645" s="2533"/>
      <c r="Z645" s="2533"/>
    </row>
    <row r="646" spans="1:24" ht="18.75">
      <c r="A646" s="15"/>
      <c r="B646" s="93"/>
      <c r="C646" s="1023"/>
      <c r="D646" s="101"/>
      <c r="E646" s="48"/>
      <c r="I646" s="1032"/>
      <c r="J646" s="1140"/>
      <c r="K646" s="1336" t="s">
        <v>609</v>
      </c>
      <c r="L646" s="1348">
        <f>SUM(L648:L657)-L653</f>
        <v>439100.04261699994</v>
      </c>
      <c r="M646" s="1491"/>
      <c r="N646" s="1469" t="s">
        <v>609</v>
      </c>
      <c r="O646" s="1440">
        <f>SUM(O648:O657)-O653</f>
        <v>43.95261699999999</v>
      </c>
      <c r="P646" s="31"/>
      <c r="Q646"/>
      <c r="W646" s="2523">
        <f t="shared" si="75"/>
        <v>0</v>
      </c>
      <c r="X646" s="2549"/>
    </row>
    <row r="647" spans="1:24" ht="18.75">
      <c r="A647" s="15"/>
      <c r="B647" s="75"/>
      <c r="C647" s="126" t="s">
        <v>785</v>
      </c>
      <c r="D647" s="101"/>
      <c r="E647" s="48"/>
      <c r="H647" s="102"/>
      <c r="I647" s="1032"/>
      <c r="J647" s="1140"/>
      <c r="K647" s="1336" t="s">
        <v>611</v>
      </c>
      <c r="L647" s="1348">
        <f>SUM(L648:L657)</f>
        <v>513001.76481699996</v>
      </c>
      <c r="M647" s="1491"/>
      <c r="N647" s="1469" t="s">
        <v>611</v>
      </c>
      <c r="O647" s="1440">
        <f>SUM(O648:O657)</f>
        <v>53.06481699999999</v>
      </c>
      <c r="P647" s="31"/>
      <c r="Q647" s="824">
        <f>L647-270600</f>
        <v>242401.76481699996</v>
      </c>
      <c r="W647" s="2523">
        <f t="shared" si="75"/>
        <v>0</v>
      </c>
      <c r="X647" s="2549"/>
    </row>
    <row r="648" spans="1:24" ht="18.75">
      <c r="A648" s="15"/>
      <c r="B648" s="75"/>
      <c r="C648" s="126" t="s">
        <v>407</v>
      </c>
      <c r="D648" s="17"/>
      <c r="E648" s="17"/>
      <c r="F648" s="17"/>
      <c r="G648" s="17"/>
      <c r="I648" s="94" t="s">
        <v>580</v>
      </c>
      <c r="J648" s="1157">
        <f aca="true" t="shared" si="76" ref="J648:K653">J620</f>
        <v>45600</v>
      </c>
      <c r="K648" s="1351">
        <f t="shared" si="76"/>
        <v>0.0155</v>
      </c>
      <c r="L648" s="1348">
        <f aca="true" t="shared" si="77" ref="L648:L657">SUM(J648:K648)</f>
        <v>45600.0155</v>
      </c>
      <c r="M648" s="1486">
        <f aca="true" t="shared" si="78" ref="M648:N653">M620</f>
        <v>4.56</v>
      </c>
      <c r="N648" s="1492">
        <f t="shared" si="78"/>
        <v>0.0155</v>
      </c>
      <c r="O648" s="1440">
        <f aca="true" t="shared" si="79" ref="O648:O657">SUM(M648:N648)</f>
        <v>4.5755</v>
      </c>
      <c r="P648" s="31"/>
      <c r="Q648"/>
      <c r="W648" s="2523">
        <f t="shared" si="75"/>
        <v>45600</v>
      </c>
      <c r="X648" s="2545">
        <f aca="true" t="shared" si="80" ref="X648:X653">X620</f>
        <v>38000</v>
      </c>
    </row>
    <row r="649" spans="1:24" ht="18.75">
      <c r="A649" s="15"/>
      <c r="B649" s="75"/>
      <c r="C649" s="126" t="s">
        <v>581</v>
      </c>
      <c r="D649" s="17"/>
      <c r="E649" s="17"/>
      <c r="F649" s="17"/>
      <c r="G649" s="17"/>
      <c r="I649" s="94" t="s">
        <v>580</v>
      </c>
      <c r="J649" s="1157">
        <f t="shared" si="76"/>
        <v>45600</v>
      </c>
      <c r="K649" s="1351">
        <f t="shared" si="76"/>
        <v>0.00125</v>
      </c>
      <c r="L649" s="1348">
        <f t="shared" si="77"/>
        <v>45600.00125</v>
      </c>
      <c r="M649" s="1486">
        <f t="shared" si="78"/>
        <v>4.56</v>
      </c>
      <c r="N649" s="1492">
        <f t="shared" si="78"/>
        <v>0.00125</v>
      </c>
      <c r="O649" s="1440">
        <f t="shared" si="79"/>
        <v>4.561249999999999</v>
      </c>
      <c r="P649" s="31"/>
      <c r="Q649"/>
      <c r="W649" s="2523">
        <f t="shared" si="75"/>
        <v>45600</v>
      </c>
      <c r="X649" s="2545">
        <f t="shared" si="80"/>
        <v>38000</v>
      </c>
    </row>
    <row r="650" spans="1:24" ht="18.75">
      <c r="A650" s="15"/>
      <c r="B650" s="75"/>
      <c r="C650" s="126" t="s">
        <v>582</v>
      </c>
      <c r="D650" s="17"/>
      <c r="E650" s="17"/>
      <c r="F650" s="17"/>
      <c r="G650" s="17"/>
      <c r="I650" s="94" t="s">
        <v>580</v>
      </c>
      <c r="J650" s="1157">
        <f t="shared" si="76"/>
        <v>51000</v>
      </c>
      <c r="K650" s="1351">
        <f t="shared" si="76"/>
        <v>0.0023</v>
      </c>
      <c r="L650" s="1348">
        <f>SUM(J650:K650)</f>
        <v>51000.0023</v>
      </c>
      <c r="M650" s="1486">
        <f t="shared" si="78"/>
        <v>5.1</v>
      </c>
      <c r="N650" s="1492">
        <f t="shared" si="78"/>
        <v>0.0023</v>
      </c>
      <c r="O650" s="1440">
        <f t="shared" si="79"/>
        <v>5.1023</v>
      </c>
      <c r="P650" s="31"/>
      <c r="Q650"/>
      <c r="W650" s="2523">
        <f t="shared" si="75"/>
        <v>51000</v>
      </c>
      <c r="X650" s="2545">
        <f t="shared" si="80"/>
        <v>42500</v>
      </c>
    </row>
    <row r="651" spans="1:24" ht="18.75">
      <c r="A651" s="15"/>
      <c r="B651" s="75"/>
      <c r="C651" s="126" t="s">
        <v>583</v>
      </c>
      <c r="D651" s="17"/>
      <c r="E651" s="17"/>
      <c r="F651" s="17"/>
      <c r="G651" s="17"/>
      <c r="I651" s="94" t="s">
        <v>580</v>
      </c>
      <c r="J651" s="1157">
        <f t="shared" si="76"/>
        <v>45600</v>
      </c>
      <c r="K651" s="1351">
        <f t="shared" si="76"/>
        <v>0.018317</v>
      </c>
      <c r="L651" s="1348">
        <f t="shared" si="77"/>
        <v>45600.018317</v>
      </c>
      <c r="M651" s="1486">
        <f t="shared" si="78"/>
        <v>4.56</v>
      </c>
      <c r="N651" s="1492">
        <f t="shared" si="78"/>
        <v>0.018317</v>
      </c>
      <c r="O651" s="1440">
        <f t="shared" si="79"/>
        <v>4.578316999999999</v>
      </c>
      <c r="P651" s="31"/>
      <c r="Q651"/>
      <c r="W651" s="2523">
        <f t="shared" si="75"/>
        <v>45600</v>
      </c>
      <c r="X651" s="2545">
        <f t="shared" si="80"/>
        <v>38000</v>
      </c>
    </row>
    <row r="652" spans="1:26" s="9" customFormat="1" ht="18.75">
      <c r="A652" s="15"/>
      <c r="B652" s="75"/>
      <c r="C652" s="126" t="s">
        <v>584</v>
      </c>
      <c r="D652" s="17"/>
      <c r="E652" s="17"/>
      <c r="F652" s="17"/>
      <c r="G652" s="17"/>
      <c r="H652" s="2"/>
      <c r="I652" s="94" t="s">
        <v>580</v>
      </c>
      <c r="J652" s="1157">
        <f t="shared" si="76"/>
        <v>43700</v>
      </c>
      <c r="K652" s="1351">
        <f t="shared" si="76"/>
        <v>0.00125</v>
      </c>
      <c r="L652" s="1348">
        <f t="shared" si="77"/>
        <v>43700.00125</v>
      </c>
      <c r="M652" s="1486">
        <f t="shared" si="78"/>
        <v>4.37</v>
      </c>
      <c r="N652" s="1492">
        <f t="shared" si="78"/>
        <v>0.00125</v>
      </c>
      <c r="O652" s="1440">
        <f t="shared" si="79"/>
        <v>4.37125</v>
      </c>
      <c r="P652" s="31"/>
      <c r="R652" s="2516"/>
      <c r="S652" s="2516"/>
      <c r="T652" s="2516"/>
      <c r="U652" s="2516"/>
      <c r="V652" s="2516"/>
      <c r="W652" s="2523">
        <f t="shared" si="75"/>
        <v>43680</v>
      </c>
      <c r="X652" s="2545">
        <f t="shared" si="80"/>
        <v>36400</v>
      </c>
      <c r="Y652" s="2516"/>
      <c r="Z652" s="2516"/>
    </row>
    <row r="653" spans="1:26" s="9" customFormat="1" ht="18.75">
      <c r="A653" s="15"/>
      <c r="B653" s="75"/>
      <c r="C653" s="126" t="s">
        <v>585</v>
      </c>
      <c r="D653" s="17"/>
      <c r="E653" s="17"/>
      <c r="F653" s="17"/>
      <c r="G653" s="17"/>
      <c r="H653" s="2"/>
      <c r="I653" s="94" t="s">
        <v>580</v>
      </c>
      <c r="J653" s="1157">
        <f t="shared" si="76"/>
        <v>73900</v>
      </c>
      <c r="K653" s="1351">
        <f t="shared" si="76"/>
        <v>1.7222</v>
      </c>
      <c r="L653" s="1348">
        <f t="shared" si="77"/>
        <v>73901.7222</v>
      </c>
      <c r="M653" s="1486">
        <f t="shared" si="78"/>
        <v>7.39</v>
      </c>
      <c r="N653" s="1492">
        <f t="shared" si="78"/>
        <v>1.7222</v>
      </c>
      <c r="O653" s="1440">
        <f t="shared" si="79"/>
        <v>9.1122</v>
      </c>
      <c r="P653" s="31"/>
      <c r="Q653" s="9">
        <v>-700</v>
      </c>
      <c r="R653" s="2516"/>
      <c r="S653" s="2516"/>
      <c r="T653" s="2516"/>
      <c r="U653" s="2516"/>
      <c r="V653" s="2516"/>
      <c r="W653" s="2523">
        <f t="shared" si="75"/>
        <v>73920</v>
      </c>
      <c r="X653" s="2545">
        <f t="shared" si="80"/>
        <v>61600</v>
      </c>
      <c r="Y653" s="2516"/>
      <c r="Z653" s="2516"/>
    </row>
    <row r="654" spans="1:26" s="12" customFormat="1" ht="18.75">
      <c r="A654" s="15"/>
      <c r="B654" s="75"/>
      <c r="C654" s="126" t="s">
        <v>587</v>
      </c>
      <c r="D654" s="17"/>
      <c r="E654" s="17"/>
      <c r="F654" s="17"/>
      <c r="G654" s="17"/>
      <c r="H654" s="2"/>
      <c r="I654" s="94" t="s">
        <v>580</v>
      </c>
      <c r="J654" s="1157">
        <f>J627</f>
        <v>68800</v>
      </c>
      <c r="K654" s="1351">
        <f>K627</f>
        <v>0.002</v>
      </c>
      <c r="L654" s="1348">
        <f>SUM(J654:K654)</f>
        <v>68800.002</v>
      </c>
      <c r="M654" s="1486">
        <f>M627</f>
        <v>6.88</v>
      </c>
      <c r="N654" s="1492">
        <f>N627</f>
        <v>0.002</v>
      </c>
      <c r="O654" s="1440">
        <f t="shared" si="79"/>
        <v>6.882</v>
      </c>
      <c r="P654" s="103"/>
      <c r="R654" s="2531"/>
      <c r="S654" s="2531"/>
      <c r="T654" s="2531"/>
      <c r="U654" s="2531"/>
      <c r="V654" s="2531"/>
      <c r="W654" s="2523">
        <f t="shared" si="75"/>
        <v>68760</v>
      </c>
      <c r="X654" s="2545">
        <f>X627</f>
        <v>57300</v>
      </c>
      <c r="Y654" s="2531"/>
      <c r="Z654" s="2531"/>
    </row>
    <row r="655" spans="1:26" s="12" customFormat="1" ht="18.75">
      <c r="A655" s="15"/>
      <c r="B655" s="75"/>
      <c r="C655" s="126" t="s">
        <v>591</v>
      </c>
      <c r="D655" s="17"/>
      <c r="E655" s="17"/>
      <c r="F655" s="17"/>
      <c r="G655" s="17"/>
      <c r="H655" s="2"/>
      <c r="I655" s="94" t="s">
        <v>580</v>
      </c>
      <c r="J655" s="1157">
        <f>J631</f>
        <v>56800</v>
      </c>
      <c r="K655" s="1351">
        <f>K631</f>
        <v>0.002</v>
      </c>
      <c r="L655" s="1348">
        <f>SUM(J655:K655)</f>
        <v>56800.002</v>
      </c>
      <c r="M655" s="1486">
        <f>M631</f>
        <v>5.68</v>
      </c>
      <c r="N655" s="1492">
        <f>N631</f>
        <v>0.002</v>
      </c>
      <c r="O655" s="1440">
        <f t="shared" si="79"/>
        <v>5.6819999999999995</v>
      </c>
      <c r="P655" s="103"/>
      <c r="R655" s="2531"/>
      <c r="S655" s="2531"/>
      <c r="T655" s="2531"/>
      <c r="U655" s="2531"/>
      <c r="V655" s="2531"/>
      <c r="W655" s="2523">
        <f t="shared" si="75"/>
        <v>56760</v>
      </c>
      <c r="X655" s="2545">
        <f>X631</f>
        <v>47300</v>
      </c>
      <c r="Y655" s="2531"/>
      <c r="Z655" s="2531"/>
    </row>
    <row r="656" spans="1:26" s="19" customFormat="1" ht="18.75">
      <c r="A656" s="15"/>
      <c r="B656" s="75"/>
      <c r="C656" s="126" t="s">
        <v>593</v>
      </c>
      <c r="D656" s="17"/>
      <c r="E656" s="17"/>
      <c r="F656" s="17"/>
      <c r="G656" s="17"/>
      <c r="H656" s="2"/>
      <c r="I656" s="94" t="s">
        <v>594</v>
      </c>
      <c r="J656" s="1157">
        <f>J634</f>
        <v>61200</v>
      </c>
      <c r="K656" s="1351">
        <f>K634</f>
        <v>0</v>
      </c>
      <c r="L656" s="1348">
        <f t="shared" si="77"/>
        <v>61200</v>
      </c>
      <c r="M656" s="1486">
        <f>M634</f>
        <v>6.12</v>
      </c>
      <c r="N656" s="1492">
        <f>N634</f>
        <v>0</v>
      </c>
      <c r="O656" s="1440">
        <f t="shared" si="79"/>
        <v>6.12</v>
      </c>
      <c r="P656" s="104"/>
      <c r="R656" s="2509"/>
      <c r="S656" s="2509"/>
      <c r="T656" s="2509"/>
      <c r="U656" s="2509"/>
      <c r="V656" s="2509"/>
      <c r="W656" s="2523">
        <f t="shared" si="75"/>
        <v>61200</v>
      </c>
      <c r="X656" s="2545">
        <f>X634</f>
        <v>51000</v>
      </c>
      <c r="Y656" s="2509"/>
      <c r="Z656" s="2509"/>
    </row>
    <row r="657" spans="1:26" s="19" customFormat="1" ht="18.75">
      <c r="A657" s="138"/>
      <c r="B657" s="139"/>
      <c r="C657" s="634" t="s">
        <v>613</v>
      </c>
      <c r="D657" s="132"/>
      <c r="E657" s="132"/>
      <c r="F657" s="132"/>
      <c r="G657" s="132"/>
      <c r="H657" s="89"/>
      <c r="I657" s="546" t="s">
        <v>594</v>
      </c>
      <c r="J657" s="1180">
        <f>J635</f>
        <v>20800</v>
      </c>
      <c r="K657" s="1352">
        <f>K635</f>
        <v>0</v>
      </c>
      <c r="L657" s="1353">
        <f t="shared" si="77"/>
        <v>20800</v>
      </c>
      <c r="M657" s="1493">
        <f>M635</f>
        <v>2.08</v>
      </c>
      <c r="N657" s="1494">
        <f>N635</f>
        <v>0</v>
      </c>
      <c r="O657" s="1449">
        <f t="shared" si="79"/>
        <v>2.08</v>
      </c>
      <c r="P657" s="104"/>
      <c r="R657" s="2509"/>
      <c r="S657" s="2509"/>
      <c r="T657" s="2509"/>
      <c r="U657" s="2509"/>
      <c r="V657" s="2509"/>
      <c r="W657" s="2523">
        <f t="shared" si="75"/>
        <v>20760</v>
      </c>
      <c r="X657" s="2545">
        <f>X635</f>
        <v>17300</v>
      </c>
      <c r="Y657" s="2509"/>
      <c r="Z657" s="2509"/>
    </row>
    <row r="658" spans="1:26" s="19" customFormat="1" ht="18.75">
      <c r="A658" s="100"/>
      <c r="B658" s="62"/>
      <c r="C658" s="35"/>
      <c r="D658" s="48"/>
      <c r="E658" s="2"/>
      <c r="F658" s="2"/>
      <c r="G658" s="2"/>
      <c r="H658" s="2"/>
      <c r="I658" s="41"/>
      <c r="J658" s="1133"/>
      <c r="K658" s="1347"/>
      <c r="L658" s="1324"/>
      <c r="M658" s="1484"/>
      <c r="N658" s="1465"/>
      <c r="O658" s="1440"/>
      <c r="P658" s="104"/>
      <c r="R658" s="2509"/>
      <c r="S658" s="2509"/>
      <c r="T658" s="2509"/>
      <c r="U658" s="2509"/>
      <c r="V658" s="2509"/>
      <c r="W658" s="2523">
        <f t="shared" si="75"/>
        <v>0</v>
      </c>
      <c r="X658" s="2543"/>
      <c r="Y658" s="2509"/>
      <c r="Z658" s="2509"/>
    </row>
    <row r="659" spans="1:26" s="19" customFormat="1" ht="18.75">
      <c r="A659" s="100" t="s">
        <v>786</v>
      </c>
      <c r="B659" s="91" t="s">
        <v>787</v>
      </c>
      <c r="C659" s="1024"/>
      <c r="D659" s="35"/>
      <c r="E659" s="48"/>
      <c r="F659" s="2"/>
      <c r="G659" s="2"/>
      <c r="H659" s="129"/>
      <c r="I659" s="41"/>
      <c r="J659" s="1136"/>
      <c r="K659" s="1347"/>
      <c r="L659" s="1324"/>
      <c r="M659" s="1487"/>
      <c r="N659" s="1465"/>
      <c r="O659" s="1440"/>
      <c r="P659" s="104"/>
      <c r="R659" s="2509"/>
      <c r="S659" s="2509"/>
      <c r="T659" s="2509"/>
      <c r="U659" s="2509"/>
      <c r="V659" s="2509"/>
      <c r="W659" s="2523">
        <f t="shared" si="75"/>
        <v>0</v>
      </c>
      <c r="X659" s="2545"/>
      <c r="Y659" s="2509"/>
      <c r="Z659" s="2509"/>
    </row>
    <row r="660" spans="1:26" s="19" customFormat="1" ht="18.75">
      <c r="A660" s="144" t="s">
        <v>867</v>
      </c>
      <c r="B660" s="91"/>
      <c r="C660" s="635" t="s">
        <v>200</v>
      </c>
      <c r="D660" s="48"/>
      <c r="E660" s="2"/>
      <c r="F660" s="2"/>
      <c r="G660" s="2"/>
      <c r="H660" s="129"/>
      <c r="I660" s="41"/>
      <c r="J660" s="1136"/>
      <c r="K660" s="1347"/>
      <c r="L660" s="1324"/>
      <c r="M660" s="1487"/>
      <c r="N660" s="1465"/>
      <c r="O660" s="1440"/>
      <c r="P660" s="104"/>
      <c r="R660" s="2509"/>
      <c r="S660" s="2509"/>
      <c r="T660" s="2509"/>
      <c r="U660" s="2509"/>
      <c r="V660" s="2509"/>
      <c r="W660" s="2523">
        <f t="shared" si="75"/>
        <v>0</v>
      </c>
      <c r="X660" s="2545"/>
      <c r="Y660" s="2509"/>
      <c r="Z660" s="2509"/>
    </row>
    <row r="661" spans="1:26" s="19" customFormat="1" ht="18.75">
      <c r="A661" s="92">
        <v>1</v>
      </c>
      <c r="B661" s="75"/>
      <c r="C661" s="126" t="s">
        <v>788</v>
      </c>
      <c r="D661" s="55"/>
      <c r="E661" s="48"/>
      <c r="F661" s="2"/>
      <c r="G661" s="2"/>
      <c r="H661" s="2"/>
      <c r="I661" s="540" t="s">
        <v>789</v>
      </c>
      <c r="J661" s="1157">
        <v>254600</v>
      </c>
      <c r="K661" s="1347">
        <f>'[1]Акуш.'!$G$11</f>
        <v>2.0425</v>
      </c>
      <c r="L661" s="1348">
        <f aca="true" t="shared" si="81" ref="L661:L672">SUM(J661:K661)</f>
        <v>254602.0425</v>
      </c>
      <c r="M661" s="1462">
        <f aca="true" t="shared" si="82" ref="M661:M672">J661/10000</f>
        <v>25.46</v>
      </c>
      <c r="N661" s="1463">
        <f aca="true" t="shared" si="83" ref="N661:N672">K661</f>
        <v>2.0425</v>
      </c>
      <c r="O661" s="1440">
        <f aca="true" t="shared" si="84" ref="O661:O672">SUM(M661:N661)</f>
        <v>27.5025</v>
      </c>
      <c r="P661" s="104"/>
      <c r="R661" s="2509"/>
      <c r="S661" s="2509"/>
      <c r="T661" s="2509"/>
      <c r="U661" s="2509"/>
      <c r="V661" s="2509"/>
      <c r="W661" s="2523">
        <f t="shared" si="75"/>
        <v>254640</v>
      </c>
      <c r="X661" s="2545">
        <v>212200</v>
      </c>
      <c r="Y661" s="2509"/>
      <c r="Z661" s="2509"/>
    </row>
    <row r="662" spans="1:26" s="19" customFormat="1" ht="18.75">
      <c r="A662" s="92">
        <v>2</v>
      </c>
      <c r="B662" s="75"/>
      <c r="C662" s="126" t="s">
        <v>790</v>
      </c>
      <c r="D662" s="55"/>
      <c r="E662" s="48"/>
      <c r="F662" s="2"/>
      <c r="G662" s="2"/>
      <c r="H662" s="2"/>
      <c r="I662" s="540" t="s">
        <v>789</v>
      </c>
      <c r="J662" s="1157">
        <v>169700</v>
      </c>
      <c r="K662" s="1347">
        <f>'[1]Акуш.'!$G$16</f>
        <v>2.04</v>
      </c>
      <c r="L662" s="1348">
        <f t="shared" si="81"/>
        <v>169702.04</v>
      </c>
      <c r="M662" s="1462">
        <f t="shared" si="82"/>
        <v>16.97</v>
      </c>
      <c r="N662" s="1463">
        <f t="shared" si="83"/>
        <v>2.04</v>
      </c>
      <c r="O662" s="1440">
        <f t="shared" si="84"/>
        <v>19.009999999999998</v>
      </c>
      <c r="P662" s="104"/>
      <c r="R662" s="2509"/>
      <c r="S662" s="2509"/>
      <c r="T662" s="2509"/>
      <c r="U662" s="2509"/>
      <c r="V662" s="2509"/>
      <c r="W662" s="2523">
        <f t="shared" si="75"/>
        <v>169680</v>
      </c>
      <c r="X662" s="2545">
        <v>141400</v>
      </c>
      <c r="Y662" s="2509"/>
      <c r="Z662" s="2509"/>
    </row>
    <row r="663" spans="1:26" s="19" customFormat="1" ht="18.75">
      <c r="A663" s="92">
        <v>3</v>
      </c>
      <c r="B663" s="75"/>
      <c r="C663" s="126" t="s">
        <v>312</v>
      </c>
      <c r="D663" s="55"/>
      <c r="E663" s="48"/>
      <c r="F663" s="2"/>
      <c r="G663" s="2"/>
      <c r="H663" s="2"/>
      <c r="I663" s="540" t="s">
        <v>796</v>
      </c>
      <c r="J663" s="1157">
        <v>16800</v>
      </c>
      <c r="K663" s="1347">
        <f>K160</f>
        <v>1.5274999999999999</v>
      </c>
      <c r="L663" s="1348">
        <f t="shared" si="81"/>
        <v>16801.5275</v>
      </c>
      <c r="M663" s="1462">
        <f t="shared" si="82"/>
        <v>1.68</v>
      </c>
      <c r="N663" s="1463">
        <f t="shared" si="83"/>
        <v>1.5274999999999999</v>
      </c>
      <c r="O663" s="1440">
        <f t="shared" si="84"/>
        <v>3.2074999999999996</v>
      </c>
      <c r="P663" s="104"/>
      <c r="R663" s="2509"/>
      <c r="S663" s="2509"/>
      <c r="T663" s="2509"/>
      <c r="U663" s="2509"/>
      <c r="V663" s="2509"/>
      <c r="W663" s="2523">
        <f t="shared" si="75"/>
        <v>16800</v>
      </c>
      <c r="X663" s="2545">
        <v>14000</v>
      </c>
      <c r="Y663" s="2509"/>
      <c r="Z663" s="2509"/>
    </row>
    <row r="664" spans="1:26" s="19" customFormat="1" ht="18.75">
      <c r="A664" s="92">
        <v>4</v>
      </c>
      <c r="B664" s="33"/>
      <c r="C664" s="1532" t="s">
        <v>572</v>
      </c>
      <c r="D664" s="48"/>
      <c r="E664" s="10"/>
      <c r="F664" s="10"/>
      <c r="G664" s="10"/>
      <c r="H664" s="10"/>
      <c r="I664" s="1032" t="s">
        <v>573</v>
      </c>
      <c r="J664" s="1141">
        <v>169700</v>
      </c>
      <c r="K664" s="1347">
        <f>K165</f>
        <v>2.5175</v>
      </c>
      <c r="L664" s="1348">
        <f t="shared" si="81"/>
        <v>169702.5175</v>
      </c>
      <c r="M664" s="1462">
        <f t="shared" si="82"/>
        <v>16.97</v>
      </c>
      <c r="N664" s="1463">
        <f t="shared" si="83"/>
        <v>2.5175</v>
      </c>
      <c r="O664" s="1440">
        <f t="shared" si="84"/>
        <v>19.487499999999997</v>
      </c>
      <c r="P664" s="104"/>
      <c r="R664" s="2509"/>
      <c r="S664" s="2509"/>
      <c r="T664" s="2509"/>
      <c r="U664" s="2509"/>
      <c r="V664" s="2509"/>
      <c r="W664" s="2523">
        <f t="shared" si="75"/>
        <v>169680</v>
      </c>
      <c r="X664" s="2543">
        <v>141400</v>
      </c>
      <c r="Y664" s="2509"/>
      <c r="Z664" s="2509"/>
    </row>
    <row r="665" spans="1:26" s="19" customFormat="1" ht="18.75">
      <c r="A665" s="92">
        <v>5</v>
      </c>
      <c r="B665" s="33"/>
      <c r="C665" s="1532" t="s">
        <v>574</v>
      </c>
      <c r="D665" s="48"/>
      <c r="E665" s="10"/>
      <c r="F665" s="10"/>
      <c r="G665" s="10"/>
      <c r="H665" s="10"/>
      <c r="I665" s="1032" t="s">
        <v>573</v>
      </c>
      <c r="J665" s="1141">
        <v>254600</v>
      </c>
      <c r="K665" s="1347">
        <f>K166</f>
        <v>8.389</v>
      </c>
      <c r="L665" s="1348">
        <f t="shared" si="81"/>
        <v>254608.389</v>
      </c>
      <c r="M665" s="1462">
        <f t="shared" si="82"/>
        <v>25.46</v>
      </c>
      <c r="N665" s="1463">
        <f t="shared" si="83"/>
        <v>8.389</v>
      </c>
      <c r="O665" s="1440">
        <f t="shared" si="84"/>
        <v>33.849000000000004</v>
      </c>
      <c r="P665" s="104"/>
      <c r="R665" s="2509"/>
      <c r="S665" s="2509"/>
      <c r="T665" s="2509"/>
      <c r="U665" s="2509"/>
      <c r="V665" s="2509"/>
      <c r="W665" s="2523">
        <f t="shared" si="75"/>
        <v>254640</v>
      </c>
      <c r="X665" s="2543">
        <v>212200</v>
      </c>
      <c r="Y665" s="2509"/>
      <c r="Z665" s="2509"/>
    </row>
    <row r="666" spans="1:26" s="19" customFormat="1" ht="18.75">
      <c r="A666" s="92">
        <v>6</v>
      </c>
      <c r="B666" s="33"/>
      <c r="C666" s="1532" t="s">
        <v>408</v>
      </c>
      <c r="D666" s="48"/>
      <c r="E666" s="10"/>
      <c r="F666" s="10"/>
      <c r="G666" s="10"/>
      <c r="H666" s="10"/>
      <c r="I666" s="1032" t="s">
        <v>573</v>
      </c>
      <c r="J666" s="1141">
        <v>31400</v>
      </c>
      <c r="K666" s="1347"/>
      <c r="L666" s="1348">
        <f>SUM(J666:K666)</f>
        <v>31400</v>
      </c>
      <c r="M666" s="1462">
        <f t="shared" si="82"/>
        <v>3.14</v>
      </c>
      <c r="N666" s="1463">
        <f t="shared" si="83"/>
        <v>0</v>
      </c>
      <c r="O666" s="1440">
        <f t="shared" si="84"/>
        <v>3.14</v>
      </c>
      <c r="P666" s="104"/>
      <c r="R666" s="2509"/>
      <c r="S666" s="2509"/>
      <c r="T666" s="2509"/>
      <c r="U666" s="2509"/>
      <c r="V666" s="2509"/>
      <c r="W666" s="2523">
        <f t="shared" si="75"/>
        <v>31440</v>
      </c>
      <c r="X666" s="2543">
        <v>26200</v>
      </c>
      <c r="Y666" s="2509"/>
      <c r="Z666" s="2509"/>
    </row>
    <row r="667" spans="1:26" s="19" customFormat="1" ht="18.75">
      <c r="A667" s="92">
        <v>7</v>
      </c>
      <c r="B667" s="33"/>
      <c r="C667" s="1532" t="s">
        <v>409</v>
      </c>
      <c r="D667" s="48"/>
      <c r="E667" s="10"/>
      <c r="F667" s="10"/>
      <c r="G667" s="10"/>
      <c r="H667" s="10"/>
      <c r="I667" s="1032" t="s">
        <v>568</v>
      </c>
      <c r="J667" s="1141">
        <v>280200</v>
      </c>
      <c r="K667" s="1347"/>
      <c r="L667" s="1348">
        <f>SUM(J667:K667)</f>
        <v>280200</v>
      </c>
      <c r="M667" s="1462">
        <f t="shared" si="82"/>
        <v>28.02</v>
      </c>
      <c r="N667" s="1463">
        <f t="shared" si="83"/>
        <v>0</v>
      </c>
      <c r="O667" s="1440">
        <f t="shared" si="84"/>
        <v>28.02</v>
      </c>
      <c r="P667" s="104"/>
      <c r="R667" s="2509"/>
      <c r="S667" s="2509"/>
      <c r="T667" s="2509"/>
      <c r="U667" s="2509"/>
      <c r="V667" s="2509"/>
      <c r="W667" s="2523">
        <f t="shared" si="75"/>
        <v>280200</v>
      </c>
      <c r="X667" s="2543">
        <v>233500</v>
      </c>
      <c r="Y667" s="2509"/>
      <c r="Z667" s="2509"/>
    </row>
    <row r="668" spans="1:26" s="19" customFormat="1" ht="18.75">
      <c r="A668" s="92">
        <v>8</v>
      </c>
      <c r="B668" s="75"/>
      <c r="C668" s="126" t="s">
        <v>567</v>
      </c>
      <c r="D668" s="55"/>
      <c r="E668" s="48"/>
      <c r="F668" s="2"/>
      <c r="G668" s="2"/>
      <c r="H668" s="2"/>
      <c r="I668" s="1034" t="s">
        <v>568</v>
      </c>
      <c r="J668" s="1157">
        <v>127300</v>
      </c>
      <c r="K668" s="1347">
        <f>K161</f>
        <v>3.723</v>
      </c>
      <c r="L668" s="1348">
        <f t="shared" si="81"/>
        <v>127303.723</v>
      </c>
      <c r="M668" s="1462">
        <f t="shared" si="82"/>
        <v>12.73</v>
      </c>
      <c r="N668" s="1463">
        <f t="shared" si="83"/>
        <v>3.723</v>
      </c>
      <c r="O668" s="1440">
        <f t="shared" si="84"/>
        <v>16.453</v>
      </c>
      <c r="P668" s="104"/>
      <c r="R668" s="2509"/>
      <c r="S668" s="2509"/>
      <c r="T668" s="2509"/>
      <c r="U668" s="2509"/>
      <c r="V668" s="2509"/>
      <c r="W668" s="2523">
        <f t="shared" si="75"/>
        <v>127320</v>
      </c>
      <c r="X668" s="2545">
        <v>106100</v>
      </c>
      <c r="Y668" s="2509"/>
      <c r="Z668" s="2509"/>
    </row>
    <row r="669" spans="1:26" s="19" customFormat="1" ht="18.75">
      <c r="A669" s="92">
        <v>9</v>
      </c>
      <c r="B669" s="75"/>
      <c r="C669" s="126" t="s">
        <v>569</v>
      </c>
      <c r="D669" s="55"/>
      <c r="E669" s="48"/>
      <c r="F669" s="2"/>
      <c r="G669" s="2"/>
      <c r="H669" s="2"/>
      <c r="I669" s="1034" t="s">
        <v>568</v>
      </c>
      <c r="J669" s="1157">
        <v>127300</v>
      </c>
      <c r="K669" s="1347">
        <f>K162</f>
        <v>2.105</v>
      </c>
      <c r="L669" s="1348">
        <f t="shared" si="81"/>
        <v>127302.105</v>
      </c>
      <c r="M669" s="1462">
        <f t="shared" si="82"/>
        <v>12.73</v>
      </c>
      <c r="N669" s="1463">
        <f t="shared" si="83"/>
        <v>2.105</v>
      </c>
      <c r="O669" s="1440">
        <f t="shared" si="84"/>
        <v>14.835</v>
      </c>
      <c r="P669" s="104"/>
      <c r="R669" s="2509"/>
      <c r="S669" s="2509"/>
      <c r="T669" s="2509"/>
      <c r="U669" s="2509"/>
      <c r="V669" s="2509"/>
      <c r="W669" s="2523">
        <f t="shared" si="75"/>
        <v>127320</v>
      </c>
      <c r="X669" s="2545">
        <v>106100</v>
      </c>
      <c r="Y669" s="2509"/>
      <c r="Z669" s="2509"/>
    </row>
    <row r="670" spans="1:26" s="19" customFormat="1" ht="18.75">
      <c r="A670" s="92">
        <v>10</v>
      </c>
      <c r="B670" s="75"/>
      <c r="C670" s="126" t="s">
        <v>570</v>
      </c>
      <c r="D670" s="55"/>
      <c r="E670" s="48"/>
      <c r="F670" s="2"/>
      <c r="G670" s="2"/>
      <c r="H670" s="2"/>
      <c r="I670" s="1034" t="s">
        <v>568</v>
      </c>
      <c r="J670" s="1157">
        <v>169700</v>
      </c>
      <c r="K670" s="1347">
        <f>K163</f>
        <v>9.732</v>
      </c>
      <c r="L670" s="1348">
        <f t="shared" si="81"/>
        <v>169709.732</v>
      </c>
      <c r="M670" s="1462">
        <f t="shared" si="82"/>
        <v>16.97</v>
      </c>
      <c r="N670" s="1463">
        <f t="shared" si="83"/>
        <v>9.732</v>
      </c>
      <c r="O670" s="1440">
        <f t="shared" si="84"/>
        <v>26.701999999999998</v>
      </c>
      <c r="P670" s="104"/>
      <c r="R670" s="2509"/>
      <c r="S670" s="2509"/>
      <c r="T670" s="2509"/>
      <c r="U670" s="2509"/>
      <c r="V670" s="2509"/>
      <c r="W670" s="2523">
        <f t="shared" si="75"/>
        <v>169680</v>
      </c>
      <c r="X670" s="2545">
        <v>141400</v>
      </c>
      <c r="Y670" s="2509"/>
      <c r="Z670" s="2509"/>
    </row>
    <row r="671" spans="1:26" s="19" customFormat="1" ht="18.75">
      <c r="A671" s="92">
        <v>11</v>
      </c>
      <c r="B671" s="75"/>
      <c r="C671" s="126" t="s">
        <v>410</v>
      </c>
      <c r="D671" s="55"/>
      <c r="E671" s="48"/>
      <c r="F671" s="2"/>
      <c r="G671" s="2"/>
      <c r="H671" s="2"/>
      <c r="I671" s="1034" t="s">
        <v>568</v>
      </c>
      <c r="J671" s="1157">
        <v>84800</v>
      </c>
      <c r="K671" s="1347"/>
      <c r="L671" s="1348">
        <f t="shared" si="81"/>
        <v>84800</v>
      </c>
      <c r="M671" s="1462">
        <f t="shared" si="82"/>
        <v>8.48</v>
      </c>
      <c r="N671" s="1463">
        <f t="shared" si="83"/>
        <v>0</v>
      </c>
      <c r="O671" s="1440">
        <f t="shared" si="84"/>
        <v>8.48</v>
      </c>
      <c r="P671" s="104"/>
      <c r="R671" s="2509"/>
      <c r="S671" s="2509"/>
      <c r="T671" s="2509"/>
      <c r="U671" s="2509"/>
      <c r="V671" s="2509"/>
      <c r="W671" s="2523">
        <f t="shared" si="75"/>
        <v>84840</v>
      </c>
      <c r="X671" s="2545">
        <v>70700</v>
      </c>
      <c r="Y671" s="2509"/>
      <c r="Z671" s="2509"/>
    </row>
    <row r="672" spans="1:26" s="19" customFormat="1" ht="18.75">
      <c r="A672" s="92">
        <v>12</v>
      </c>
      <c r="B672" s="33"/>
      <c r="C672" s="1532" t="s">
        <v>571</v>
      </c>
      <c r="D672" s="55"/>
      <c r="E672" s="48"/>
      <c r="F672" s="2"/>
      <c r="G672" s="2"/>
      <c r="H672" s="2"/>
      <c r="I672" s="1034" t="s">
        <v>568</v>
      </c>
      <c r="J672" s="1157">
        <v>472300</v>
      </c>
      <c r="K672" s="1347">
        <f>K164</f>
        <v>15.988</v>
      </c>
      <c r="L672" s="1348">
        <f t="shared" si="81"/>
        <v>472315.988</v>
      </c>
      <c r="M672" s="1462">
        <f t="shared" si="82"/>
        <v>47.23</v>
      </c>
      <c r="N672" s="1463">
        <f t="shared" si="83"/>
        <v>15.988</v>
      </c>
      <c r="O672" s="1440">
        <f t="shared" si="84"/>
        <v>63.217999999999996</v>
      </c>
      <c r="P672" s="104"/>
      <c r="R672" s="2509"/>
      <c r="S672" s="2509"/>
      <c r="T672" s="2509"/>
      <c r="U672" s="2509"/>
      <c r="V672" s="2509"/>
      <c r="W672" s="2523">
        <f t="shared" si="75"/>
        <v>472320</v>
      </c>
      <c r="X672" s="2545">
        <v>393600</v>
      </c>
      <c r="Y672" s="2509"/>
      <c r="Z672" s="2509"/>
    </row>
    <row r="673" spans="1:24" ht="18.75">
      <c r="A673" s="144" t="s">
        <v>871</v>
      </c>
      <c r="B673" s="91"/>
      <c r="C673" s="635" t="s">
        <v>201</v>
      </c>
      <c r="D673" s="48"/>
      <c r="H673" s="129"/>
      <c r="I673" s="540"/>
      <c r="J673" s="1157"/>
      <c r="K673" s="1347"/>
      <c r="L673" s="1324"/>
      <c r="M673" s="1486"/>
      <c r="N673" s="1465"/>
      <c r="O673" s="1440"/>
      <c r="P673" s="31"/>
      <c r="Q673"/>
      <c r="W673" s="2523">
        <f t="shared" si="75"/>
        <v>0</v>
      </c>
      <c r="X673" s="2545"/>
    </row>
    <row r="674" spans="1:26" s="19" customFormat="1" ht="18.75">
      <c r="A674" s="92">
        <f>A661</f>
        <v>1</v>
      </c>
      <c r="B674" s="75"/>
      <c r="C674" s="126" t="s">
        <v>788</v>
      </c>
      <c r="D674" s="55"/>
      <c r="E674" s="48"/>
      <c r="F674" s="2"/>
      <c r="G674" s="2"/>
      <c r="H674" s="2"/>
      <c r="I674" s="540" t="s">
        <v>789</v>
      </c>
      <c r="J674" s="1157">
        <v>94600</v>
      </c>
      <c r="K674" s="1347">
        <f>K661</f>
        <v>2.0425</v>
      </c>
      <c r="L674" s="1348">
        <f aca="true" t="shared" si="85" ref="L674:L685">SUM(J674:K674)</f>
        <v>94602.0425</v>
      </c>
      <c r="M674" s="1462">
        <f aca="true" t="shared" si="86" ref="M674:M685">J674/10000</f>
        <v>9.46</v>
      </c>
      <c r="N674" s="1463">
        <f aca="true" t="shared" si="87" ref="N674:N685">K674</f>
        <v>2.0425</v>
      </c>
      <c r="O674" s="1440">
        <f aca="true" t="shared" si="88" ref="O674:O685">SUM(M674:N674)</f>
        <v>11.502500000000001</v>
      </c>
      <c r="P674" s="104"/>
      <c r="R674" s="2509"/>
      <c r="S674" s="2509"/>
      <c r="T674" s="2509"/>
      <c r="U674" s="2509"/>
      <c r="V674" s="2509"/>
      <c r="W674" s="2523">
        <f t="shared" si="75"/>
        <v>94560</v>
      </c>
      <c r="X674" s="2545">
        <v>78800</v>
      </c>
      <c r="Y674" s="2509"/>
      <c r="Z674" s="2509"/>
    </row>
    <row r="675" spans="1:26" s="19" customFormat="1" ht="18.75">
      <c r="A675" s="92">
        <f aca="true" t="shared" si="89" ref="A675:A685">A662</f>
        <v>2</v>
      </c>
      <c r="B675" s="75"/>
      <c r="C675" s="126" t="s">
        <v>790</v>
      </c>
      <c r="D675" s="55"/>
      <c r="E675" s="48"/>
      <c r="F675" s="2"/>
      <c r="G675" s="2"/>
      <c r="H675" s="2"/>
      <c r="I675" s="540" t="s">
        <v>789</v>
      </c>
      <c r="J675" s="1157">
        <v>63000</v>
      </c>
      <c r="K675" s="1347">
        <f>K662</f>
        <v>2.04</v>
      </c>
      <c r="L675" s="1348">
        <f t="shared" si="85"/>
        <v>63002.04</v>
      </c>
      <c r="M675" s="1462">
        <f t="shared" si="86"/>
        <v>6.3</v>
      </c>
      <c r="N675" s="1463">
        <f t="shared" si="87"/>
        <v>2.04</v>
      </c>
      <c r="O675" s="1440">
        <f t="shared" si="88"/>
        <v>8.34</v>
      </c>
      <c r="P675" s="104"/>
      <c r="R675" s="2509"/>
      <c r="S675" s="2509"/>
      <c r="T675" s="2509"/>
      <c r="U675" s="2509"/>
      <c r="V675" s="2509"/>
      <c r="W675" s="2523">
        <f t="shared" si="75"/>
        <v>63000</v>
      </c>
      <c r="X675" s="2545">
        <v>52500</v>
      </c>
      <c r="Y675" s="2509"/>
      <c r="Z675" s="2509"/>
    </row>
    <row r="676" spans="1:26" s="19" customFormat="1" ht="18.75">
      <c r="A676" s="92">
        <f t="shared" si="89"/>
        <v>3</v>
      </c>
      <c r="B676" s="75"/>
      <c r="C676" s="126" t="s">
        <v>312</v>
      </c>
      <c r="D676" s="55"/>
      <c r="E676" s="48"/>
      <c r="F676" s="2"/>
      <c r="G676" s="2"/>
      <c r="H676" s="2"/>
      <c r="I676" s="540" t="s">
        <v>796</v>
      </c>
      <c r="J676" s="1157">
        <v>6200</v>
      </c>
      <c r="K676" s="1347">
        <f>K663</f>
        <v>1.5274999999999999</v>
      </c>
      <c r="L676" s="1348">
        <f t="shared" si="85"/>
        <v>6201.5275</v>
      </c>
      <c r="M676" s="1462">
        <f t="shared" si="86"/>
        <v>0.62</v>
      </c>
      <c r="N676" s="1463">
        <f t="shared" si="87"/>
        <v>1.5274999999999999</v>
      </c>
      <c r="O676" s="1440">
        <f t="shared" si="88"/>
        <v>2.1475</v>
      </c>
      <c r="P676" s="104"/>
      <c r="R676" s="2509"/>
      <c r="S676" s="2509"/>
      <c r="T676" s="2509"/>
      <c r="U676" s="2509"/>
      <c r="V676" s="2509"/>
      <c r="W676" s="2523">
        <f t="shared" si="75"/>
        <v>6240</v>
      </c>
      <c r="X676" s="2545">
        <v>5200</v>
      </c>
      <c r="Y676" s="2509"/>
      <c r="Z676" s="2509"/>
    </row>
    <row r="677" spans="1:26" s="19" customFormat="1" ht="18.75">
      <c r="A677" s="92">
        <f t="shared" si="89"/>
        <v>4</v>
      </c>
      <c r="B677" s="33"/>
      <c r="C677" s="1532" t="s">
        <v>572</v>
      </c>
      <c r="D677" s="48"/>
      <c r="E677" s="10"/>
      <c r="F677" s="10"/>
      <c r="G677" s="10"/>
      <c r="H677" s="10"/>
      <c r="I677" s="1032" t="s">
        <v>573</v>
      </c>
      <c r="J677" s="1141">
        <v>63000</v>
      </c>
      <c r="K677" s="1347">
        <f>K664</f>
        <v>2.5175</v>
      </c>
      <c r="L677" s="1348">
        <f t="shared" si="85"/>
        <v>63002.5175</v>
      </c>
      <c r="M677" s="1462">
        <f t="shared" si="86"/>
        <v>6.3</v>
      </c>
      <c r="N677" s="1463">
        <f t="shared" si="87"/>
        <v>2.5175</v>
      </c>
      <c r="O677" s="1440">
        <f t="shared" si="88"/>
        <v>8.817499999999999</v>
      </c>
      <c r="P677" s="104"/>
      <c r="R677" s="2509"/>
      <c r="S677" s="2509"/>
      <c r="T677" s="2509"/>
      <c r="U677" s="2509"/>
      <c r="V677" s="2509"/>
      <c r="W677" s="2523">
        <f t="shared" si="75"/>
        <v>63000</v>
      </c>
      <c r="X677" s="2543">
        <v>52500</v>
      </c>
      <c r="Y677" s="2509"/>
      <c r="Z677" s="2509"/>
    </row>
    <row r="678" spans="1:26" s="19" customFormat="1" ht="18.75">
      <c r="A678" s="92">
        <f t="shared" si="89"/>
        <v>5</v>
      </c>
      <c r="B678" s="33"/>
      <c r="C678" s="1532" t="s">
        <v>574</v>
      </c>
      <c r="D678" s="48"/>
      <c r="E678" s="10"/>
      <c r="F678" s="10"/>
      <c r="G678" s="10"/>
      <c r="H678" s="10"/>
      <c r="I678" s="1032" t="s">
        <v>573</v>
      </c>
      <c r="J678" s="1141">
        <v>94600</v>
      </c>
      <c r="K678" s="1347">
        <f>K665</f>
        <v>8.389</v>
      </c>
      <c r="L678" s="1348">
        <f t="shared" si="85"/>
        <v>94608.389</v>
      </c>
      <c r="M678" s="1462">
        <f t="shared" si="86"/>
        <v>9.46</v>
      </c>
      <c r="N678" s="1463">
        <f t="shared" si="87"/>
        <v>8.389</v>
      </c>
      <c r="O678" s="1440">
        <f t="shared" si="88"/>
        <v>17.849</v>
      </c>
      <c r="P678" s="104"/>
      <c r="R678" s="2509"/>
      <c r="S678" s="2509"/>
      <c r="T678" s="2509"/>
      <c r="U678" s="2509"/>
      <c r="V678" s="2509"/>
      <c r="W678" s="2523">
        <f t="shared" si="75"/>
        <v>94560</v>
      </c>
      <c r="X678" s="2543">
        <v>78800</v>
      </c>
      <c r="Y678" s="2509"/>
      <c r="Z678" s="2509"/>
    </row>
    <row r="679" spans="1:26" s="19" customFormat="1" ht="18.75">
      <c r="A679" s="92">
        <f t="shared" si="89"/>
        <v>6</v>
      </c>
      <c r="B679" s="33"/>
      <c r="C679" s="1532" t="str">
        <f>C666</f>
        <v>Кардиотокограмма плода</v>
      </c>
      <c r="D679" s="48"/>
      <c r="E679" s="10"/>
      <c r="F679" s="10"/>
      <c r="G679" s="10"/>
      <c r="H679" s="10"/>
      <c r="I679" s="1032" t="s">
        <v>573</v>
      </c>
      <c r="J679" s="1141">
        <v>11600</v>
      </c>
      <c r="K679" s="1347"/>
      <c r="L679" s="1348">
        <f t="shared" si="85"/>
        <v>11600</v>
      </c>
      <c r="M679" s="1462">
        <f t="shared" si="86"/>
        <v>1.16</v>
      </c>
      <c r="N679" s="1463">
        <f t="shared" si="87"/>
        <v>0</v>
      </c>
      <c r="O679" s="1440">
        <f t="shared" si="88"/>
        <v>1.16</v>
      </c>
      <c r="P679" s="104"/>
      <c r="R679" s="2509"/>
      <c r="S679" s="2509"/>
      <c r="T679" s="2509"/>
      <c r="U679" s="2509"/>
      <c r="V679" s="2509"/>
      <c r="W679" s="2523">
        <f t="shared" si="75"/>
        <v>11640</v>
      </c>
      <c r="X679" s="2543">
        <v>9700</v>
      </c>
      <c r="Y679" s="2509"/>
      <c r="Z679" s="2509"/>
    </row>
    <row r="680" spans="1:26" s="19" customFormat="1" ht="18.75">
      <c r="A680" s="92">
        <f t="shared" si="89"/>
        <v>7</v>
      </c>
      <c r="B680" s="33"/>
      <c r="C680" s="1532" t="str">
        <f>C667</f>
        <v>Диатермоэлектрокоагуляция</v>
      </c>
      <c r="D680" s="48"/>
      <c r="E680" s="10"/>
      <c r="F680" s="10"/>
      <c r="G680" s="10"/>
      <c r="H680" s="10"/>
      <c r="I680" s="1032" t="s">
        <v>568</v>
      </c>
      <c r="J680" s="1141">
        <v>104000</v>
      </c>
      <c r="K680" s="1347"/>
      <c r="L680" s="1348">
        <f t="shared" si="85"/>
        <v>104000</v>
      </c>
      <c r="M680" s="1462">
        <f t="shared" si="86"/>
        <v>10.4</v>
      </c>
      <c r="N680" s="1463">
        <f t="shared" si="87"/>
        <v>0</v>
      </c>
      <c r="O680" s="1440">
        <f t="shared" si="88"/>
        <v>10.4</v>
      </c>
      <c r="P680" s="104"/>
      <c r="R680" s="2509"/>
      <c r="S680" s="2509"/>
      <c r="T680" s="2509"/>
      <c r="U680" s="2509"/>
      <c r="V680" s="2509"/>
      <c r="W680" s="2523">
        <f t="shared" si="75"/>
        <v>104040</v>
      </c>
      <c r="X680" s="2543">
        <v>86700</v>
      </c>
      <c r="Y680" s="2509"/>
      <c r="Z680" s="2509"/>
    </row>
    <row r="681" spans="1:26" s="19" customFormat="1" ht="18.75">
      <c r="A681" s="92">
        <f t="shared" si="89"/>
        <v>8</v>
      </c>
      <c r="B681" s="75"/>
      <c r="C681" s="126" t="s">
        <v>567</v>
      </c>
      <c r="D681" s="55"/>
      <c r="E681" s="48"/>
      <c r="F681" s="2"/>
      <c r="G681" s="2"/>
      <c r="H681" s="2"/>
      <c r="I681" s="1034" t="s">
        <v>568</v>
      </c>
      <c r="J681" s="1157">
        <v>47300</v>
      </c>
      <c r="K681" s="1347">
        <f>K668</f>
        <v>3.723</v>
      </c>
      <c r="L681" s="1348">
        <f t="shared" si="85"/>
        <v>47303.723</v>
      </c>
      <c r="M681" s="1462">
        <f t="shared" si="86"/>
        <v>4.73</v>
      </c>
      <c r="N681" s="1463">
        <f t="shared" si="87"/>
        <v>3.723</v>
      </c>
      <c r="O681" s="1440">
        <f t="shared" si="88"/>
        <v>8.453</v>
      </c>
      <c r="P681" s="104"/>
      <c r="R681" s="2509"/>
      <c r="S681" s="2509"/>
      <c r="T681" s="2509"/>
      <c r="U681" s="2509"/>
      <c r="V681" s="2509"/>
      <c r="W681" s="2523">
        <f t="shared" si="75"/>
        <v>47280</v>
      </c>
      <c r="X681" s="2545">
        <v>39400</v>
      </c>
      <c r="Y681" s="2509"/>
      <c r="Z681" s="2509"/>
    </row>
    <row r="682" spans="1:26" s="19" customFormat="1" ht="18.75">
      <c r="A682" s="92">
        <f t="shared" si="89"/>
        <v>9</v>
      </c>
      <c r="B682" s="75"/>
      <c r="C682" s="126" t="s">
        <v>569</v>
      </c>
      <c r="D682" s="55"/>
      <c r="E682" s="48"/>
      <c r="F682" s="2"/>
      <c r="G682" s="2"/>
      <c r="H682" s="2"/>
      <c r="I682" s="1034" t="s">
        <v>568</v>
      </c>
      <c r="J682" s="1157">
        <v>47300</v>
      </c>
      <c r="K682" s="1347">
        <f>K669</f>
        <v>2.105</v>
      </c>
      <c r="L682" s="1348">
        <f t="shared" si="85"/>
        <v>47302.105</v>
      </c>
      <c r="M682" s="1462">
        <f t="shared" si="86"/>
        <v>4.73</v>
      </c>
      <c r="N682" s="1463">
        <f t="shared" si="87"/>
        <v>2.105</v>
      </c>
      <c r="O682" s="1440">
        <f t="shared" si="88"/>
        <v>6.835000000000001</v>
      </c>
      <c r="P682" s="104"/>
      <c r="R682" s="2509"/>
      <c r="S682" s="2509"/>
      <c r="T682" s="2509"/>
      <c r="U682" s="2509"/>
      <c r="V682" s="2509"/>
      <c r="W682" s="2523">
        <f t="shared" si="75"/>
        <v>47280</v>
      </c>
      <c r="X682" s="2545">
        <v>39400</v>
      </c>
      <c r="Y682" s="2509"/>
      <c r="Z682" s="2509"/>
    </row>
    <row r="683" spans="1:26" s="19" customFormat="1" ht="18.75">
      <c r="A683" s="92">
        <f t="shared" si="89"/>
        <v>10</v>
      </c>
      <c r="B683" s="75"/>
      <c r="C683" s="126" t="s">
        <v>570</v>
      </c>
      <c r="D683" s="55"/>
      <c r="E683" s="48"/>
      <c r="F683" s="2"/>
      <c r="G683" s="2"/>
      <c r="H683" s="2"/>
      <c r="I683" s="1034" t="s">
        <v>568</v>
      </c>
      <c r="J683" s="1157">
        <v>63000</v>
      </c>
      <c r="K683" s="1347">
        <f>K670</f>
        <v>9.732</v>
      </c>
      <c r="L683" s="1348">
        <f t="shared" si="85"/>
        <v>63009.732</v>
      </c>
      <c r="M683" s="1462">
        <f t="shared" si="86"/>
        <v>6.3</v>
      </c>
      <c r="N683" s="1463">
        <f t="shared" si="87"/>
        <v>9.732</v>
      </c>
      <c r="O683" s="1440">
        <f t="shared" si="88"/>
        <v>16.032</v>
      </c>
      <c r="P683" s="104"/>
      <c r="R683" s="2509"/>
      <c r="S683" s="2509"/>
      <c r="T683" s="2509"/>
      <c r="U683" s="2509"/>
      <c r="V683" s="2509"/>
      <c r="W683" s="2523">
        <f t="shared" si="75"/>
        <v>63000</v>
      </c>
      <c r="X683" s="2545">
        <v>52500</v>
      </c>
      <c r="Y683" s="2509"/>
      <c r="Z683" s="2509"/>
    </row>
    <row r="684" spans="1:26" s="19" customFormat="1" ht="18.75">
      <c r="A684" s="92">
        <f t="shared" si="89"/>
        <v>11</v>
      </c>
      <c r="B684" s="75"/>
      <c r="C684" s="126" t="str">
        <f>C671</f>
        <v>Биопсия шейки матки (конхотомом)</v>
      </c>
      <c r="D684" s="55"/>
      <c r="E684" s="48"/>
      <c r="F684" s="2"/>
      <c r="G684" s="2"/>
      <c r="H684" s="2"/>
      <c r="I684" s="1034" t="s">
        <v>568</v>
      </c>
      <c r="J684" s="1157">
        <v>31600</v>
      </c>
      <c r="K684" s="1347"/>
      <c r="L684" s="1348">
        <f t="shared" si="85"/>
        <v>31600</v>
      </c>
      <c r="M684" s="1462">
        <f t="shared" si="86"/>
        <v>3.16</v>
      </c>
      <c r="N684" s="1463">
        <f t="shared" si="87"/>
        <v>0</v>
      </c>
      <c r="O684" s="1440">
        <f t="shared" si="88"/>
        <v>3.16</v>
      </c>
      <c r="P684" s="104"/>
      <c r="R684" s="2509"/>
      <c r="S684" s="2509"/>
      <c r="T684" s="2509"/>
      <c r="U684" s="2509"/>
      <c r="V684" s="2509"/>
      <c r="W684" s="2523">
        <f t="shared" si="75"/>
        <v>31560</v>
      </c>
      <c r="X684" s="2545">
        <v>26300</v>
      </c>
      <c r="Y684" s="2509"/>
      <c r="Z684" s="2509"/>
    </row>
    <row r="685" spans="1:26" s="19" customFormat="1" ht="18.75">
      <c r="A685" s="92">
        <f t="shared" si="89"/>
        <v>12</v>
      </c>
      <c r="B685" s="33"/>
      <c r="C685" s="1532" t="s">
        <v>571</v>
      </c>
      <c r="D685" s="55"/>
      <c r="E685" s="48"/>
      <c r="F685" s="2"/>
      <c r="G685" s="2"/>
      <c r="H685" s="2"/>
      <c r="I685" s="1034" t="s">
        <v>568</v>
      </c>
      <c r="J685" s="1157">
        <v>175400</v>
      </c>
      <c r="K685" s="1347">
        <f>K672</f>
        <v>15.988</v>
      </c>
      <c r="L685" s="1348">
        <f t="shared" si="85"/>
        <v>175415.988</v>
      </c>
      <c r="M685" s="1462">
        <f t="shared" si="86"/>
        <v>17.54</v>
      </c>
      <c r="N685" s="1463">
        <f t="shared" si="87"/>
        <v>15.988</v>
      </c>
      <c r="O685" s="1440">
        <f t="shared" si="88"/>
        <v>33.528</v>
      </c>
      <c r="P685" s="104"/>
      <c r="R685" s="2509"/>
      <c r="S685" s="2509"/>
      <c r="T685" s="2509"/>
      <c r="U685" s="2509"/>
      <c r="V685" s="2509"/>
      <c r="W685" s="2523">
        <f t="shared" si="75"/>
        <v>175440</v>
      </c>
      <c r="X685" s="2545">
        <v>146200</v>
      </c>
      <c r="Y685" s="2509"/>
      <c r="Z685" s="2509"/>
    </row>
    <row r="686" spans="1:24" ht="18.75">
      <c r="A686" s="92"/>
      <c r="B686" s="54"/>
      <c r="C686" s="106"/>
      <c r="D686" s="48"/>
      <c r="H686" s="129"/>
      <c r="I686" s="98"/>
      <c r="J686" s="1136"/>
      <c r="K686" s="1347"/>
      <c r="L686" s="1324"/>
      <c r="M686" s="1487"/>
      <c r="N686" s="1465"/>
      <c r="O686" s="1440"/>
      <c r="P686" s="31"/>
      <c r="Q686"/>
      <c r="W686" s="2523">
        <f t="shared" si="75"/>
        <v>0</v>
      </c>
      <c r="X686" s="2545"/>
    </row>
    <row r="687" spans="1:26" s="19" customFormat="1" ht="18.75">
      <c r="A687" s="144" t="s">
        <v>791</v>
      </c>
      <c r="B687" s="93" t="s">
        <v>792</v>
      </c>
      <c r="C687" s="1023"/>
      <c r="D687" s="35"/>
      <c r="E687" s="48"/>
      <c r="F687" s="2"/>
      <c r="G687" s="2"/>
      <c r="H687" s="2"/>
      <c r="I687" s="98"/>
      <c r="J687" s="1136"/>
      <c r="K687" s="1347"/>
      <c r="L687" s="1324"/>
      <c r="M687" s="1487"/>
      <c r="N687" s="1465"/>
      <c r="O687" s="1440"/>
      <c r="P687" s="104"/>
      <c r="R687" s="2509"/>
      <c r="S687" s="2509"/>
      <c r="T687" s="2509"/>
      <c r="U687" s="2509"/>
      <c r="V687" s="2509"/>
      <c r="W687" s="2523">
        <f t="shared" si="75"/>
        <v>0</v>
      </c>
      <c r="X687" s="2545"/>
      <c r="Y687" s="2509"/>
      <c r="Z687" s="2509"/>
    </row>
    <row r="688" spans="1:26" s="19" customFormat="1" ht="18.75">
      <c r="A688" s="144" t="s">
        <v>525</v>
      </c>
      <c r="B688" s="93"/>
      <c r="C688" s="635" t="s">
        <v>200</v>
      </c>
      <c r="D688" s="35"/>
      <c r="E688" s="48"/>
      <c r="F688" s="2"/>
      <c r="G688" s="2"/>
      <c r="H688" s="2"/>
      <c r="I688" s="98"/>
      <c r="J688" s="1136"/>
      <c r="K688" s="1347"/>
      <c r="L688" s="1324"/>
      <c r="M688" s="1487"/>
      <c r="N688" s="1465"/>
      <c r="O688" s="1440"/>
      <c r="P688" s="104"/>
      <c r="R688" s="2509"/>
      <c r="S688" s="2509"/>
      <c r="T688" s="2509"/>
      <c r="U688" s="2509"/>
      <c r="V688" s="2509"/>
      <c r="W688" s="2523">
        <f t="shared" si="75"/>
        <v>0</v>
      </c>
      <c r="X688" s="2545"/>
      <c r="Y688" s="2509"/>
      <c r="Z688" s="2509"/>
    </row>
    <row r="689" spans="1:26" s="19" customFormat="1" ht="18.75">
      <c r="A689" s="92">
        <v>1</v>
      </c>
      <c r="B689" s="75"/>
      <c r="C689" s="126" t="s">
        <v>793</v>
      </c>
      <c r="D689" s="17"/>
      <c r="E689" s="17"/>
      <c r="F689" s="2"/>
      <c r="G689" s="2"/>
      <c r="H689" s="2"/>
      <c r="I689" s="540" t="s">
        <v>789</v>
      </c>
      <c r="J689" s="1157">
        <v>136100</v>
      </c>
      <c r="K689" s="1347">
        <f>'[1]Хир.'!$G$12</f>
        <v>0.8160000000000001</v>
      </c>
      <c r="L689" s="1348">
        <f>SUM(J689:K689)</f>
        <v>136100.816</v>
      </c>
      <c r="M689" s="1462">
        <f>J689/10000</f>
        <v>13.61</v>
      </c>
      <c r="N689" s="1463">
        <f>K689</f>
        <v>0.8160000000000001</v>
      </c>
      <c r="O689" s="1440">
        <f>SUM(M689:N689)</f>
        <v>14.426</v>
      </c>
      <c r="P689" s="104"/>
      <c r="R689" s="2509"/>
      <c r="S689" s="2509"/>
      <c r="T689" s="2509"/>
      <c r="U689" s="2509"/>
      <c r="V689" s="2509"/>
      <c r="W689" s="2523">
        <f t="shared" si="75"/>
        <v>136080</v>
      </c>
      <c r="X689" s="2545">
        <v>113400</v>
      </c>
      <c r="Y689" s="2509"/>
      <c r="Z689" s="2509"/>
    </row>
    <row r="690" spans="1:24" ht="18.75">
      <c r="A690" s="92">
        <v>2</v>
      </c>
      <c r="B690" s="75"/>
      <c r="C690" s="126" t="s">
        <v>794</v>
      </c>
      <c r="D690" s="17"/>
      <c r="E690" s="17"/>
      <c r="I690" s="540" t="s">
        <v>789</v>
      </c>
      <c r="J690" s="1157">
        <v>93600</v>
      </c>
      <c r="K690" s="1347">
        <f>'[1]Хир.'!$G$18</f>
        <v>0.8160000000000001</v>
      </c>
      <c r="L690" s="1348">
        <f>SUM(J690:K690)</f>
        <v>93600.816</v>
      </c>
      <c r="M690" s="1462">
        <f>J690/10000</f>
        <v>9.36</v>
      </c>
      <c r="N690" s="1463">
        <f>K690</f>
        <v>0.8160000000000001</v>
      </c>
      <c r="O690" s="1440">
        <f>SUM(M690:N690)</f>
        <v>10.176</v>
      </c>
      <c r="P690" s="31"/>
      <c r="Q690"/>
      <c r="W690" s="2523">
        <f t="shared" si="75"/>
        <v>93600</v>
      </c>
      <c r="X690" s="2545">
        <v>78000</v>
      </c>
    </row>
    <row r="691" spans="1:26" s="28" customFormat="1" ht="18.75">
      <c r="A691" s="92">
        <v>3</v>
      </c>
      <c r="B691" s="75"/>
      <c r="C691" s="126" t="s">
        <v>795</v>
      </c>
      <c r="D691" s="17"/>
      <c r="E691" s="17"/>
      <c r="F691" s="2"/>
      <c r="G691" s="2"/>
      <c r="H691" s="2"/>
      <c r="I691" s="540" t="s">
        <v>796</v>
      </c>
      <c r="J691" s="1157">
        <v>357100</v>
      </c>
      <c r="K691" s="1347">
        <f>'[1]Хир.'!$G$34</f>
        <v>13.216000000000001</v>
      </c>
      <c r="L691" s="1348">
        <f>SUM(J691:K691)</f>
        <v>357113.216</v>
      </c>
      <c r="M691" s="1462">
        <f>J691/10000</f>
        <v>35.71</v>
      </c>
      <c r="N691" s="1463">
        <f>K691</f>
        <v>13.216000000000001</v>
      </c>
      <c r="O691" s="1440">
        <f>SUM(M691:N691)</f>
        <v>48.926</v>
      </c>
      <c r="P691" s="104"/>
      <c r="R691" s="2509"/>
      <c r="S691" s="2509"/>
      <c r="T691" s="2509"/>
      <c r="U691" s="2509"/>
      <c r="V691" s="2509"/>
      <c r="W691" s="2523">
        <f t="shared" si="75"/>
        <v>357120</v>
      </c>
      <c r="X691" s="2545">
        <v>297600</v>
      </c>
      <c r="Y691" s="2509"/>
      <c r="Z691" s="2509"/>
    </row>
    <row r="692" spans="1:24" ht="18.75">
      <c r="A692" s="92">
        <v>4</v>
      </c>
      <c r="B692" s="75"/>
      <c r="C692" s="126" t="s">
        <v>797</v>
      </c>
      <c r="D692" s="17"/>
      <c r="E692" s="17"/>
      <c r="I692" s="540" t="s">
        <v>796</v>
      </c>
      <c r="J692" s="1157">
        <v>357100</v>
      </c>
      <c r="K692" s="1347">
        <f>'[1]Хир.'!$G$51</f>
        <v>7.291099999999999</v>
      </c>
      <c r="L692" s="1348">
        <f>SUM(J692:K692)</f>
        <v>357107.2911</v>
      </c>
      <c r="M692" s="1462">
        <f>J692/10000</f>
        <v>35.71</v>
      </c>
      <c r="N692" s="1463">
        <f>K692</f>
        <v>7.291099999999999</v>
      </c>
      <c r="O692" s="1440">
        <f>SUM(M692:N692)</f>
        <v>43.0011</v>
      </c>
      <c r="P692" s="31"/>
      <c r="Q692"/>
      <c r="W692" s="2523">
        <f t="shared" si="75"/>
        <v>357120</v>
      </c>
      <c r="X692" s="2545">
        <v>297600</v>
      </c>
    </row>
    <row r="693" spans="1:24" ht="18.75">
      <c r="A693" s="144" t="s">
        <v>528</v>
      </c>
      <c r="B693" s="75"/>
      <c r="C693" s="635" t="s">
        <v>201</v>
      </c>
      <c r="D693" s="17"/>
      <c r="E693" s="17"/>
      <c r="I693" s="540"/>
      <c r="J693" s="1157"/>
      <c r="K693" s="1347"/>
      <c r="L693" s="1348"/>
      <c r="M693" s="1486"/>
      <c r="N693" s="1465"/>
      <c r="O693" s="1440"/>
      <c r="P693" s="31"/>
      <c r="Q693"/>
      <c r="W693" s="2523">
        <f t="shared" si="75"/>
        <v>0</v>
      </c>
      <c r="X693" s="2545"/>
    </row>
    <row r="694" spans="1:24" ht="18.75">
      <c r="A694" s="92">
        <f>A689</f>
        <v>1</v>
      </c>
      <c r="B694" s="75"/>
      <c r="C694" s="126" t="str">
        <f>C689</f>
        <v>Первичный прием врача-хирурга</v>
      </c>
      <c r="D694" s="17"/>
      <c r="E694" s="17"/>
      <c r="I694" s="540" t="s">
        <v>789</v>
      </c>
      <c r="J694" s="1157">
        <v>50500</v>
      </c>
      <c r="K694" s="1347">
        <f>K689</f>
        <v>0.8160000000000001</v>
      </c>
      <c r="L694" s="1348">
        <f>SUM(J694:K694)</f>
        <v>50500.816</v>
      </c>
      <c r="M694" s="1462">
        <f>J694/10000</f>
        <v>5.05</v>
      </c>
      <c r="N694" s="1465">
        <f>N689</f>
        <v>0.8160000000000001</v>
      </c>
      <c r="O694" s="1440">
        <f>SUM(M694:N694)</f>
        <v>5.866</v>
      </c>
      <c r="P694" s="31"/>
      <c r="Q694"/>
      <c r="W694" s="2523">
        <f t="shared" si="75"/>
        <v>50520</v>
      </c>
      <c r="X694" s="2545">
        <v>42100</v>
      </c>
    </row>
    <row r="695" spans="1:24" ht="18.75">
      <c r="A695" s="92">
        <f>A690</f>
        <v>2</v>
      </c>
      <c r="B695" s="75"/>
      <c r="C695" s="126" t="str">
        <f>C690</f>
        <v>Повторный прием врача-хирурга</v>
      </c>
      <c r="D695" s="17"/>
      <c r="E695" s="17"/>
      <c r="I695" s="540" t="s">
        <v>789</v>
      </c>
      <c r="J695" s="1157">
        <v>34800</v>
      </c>
      <c r="K695" s="1347">
        <f>K690</f>
        <v>0.8160000000000001</v>
      </c>
      <c r="L695" s="1348">
        <f>SUM(J695:K695)</f>
        <v>34800.816</v>
      </c>
      <c r="M695" s="1462">
        <f>J695/10000</f>
        <v>3.48</v>
      </c>
      <c r="N695" s="1465">
        <f>N690</f>
        <v>0.8160000000000001</v>
      </c>
      <c r="O695" s="1440">
        <f>SUM(M695:N695)</f>
        <v>4.296</v>
      </c>
      <c r="P695" s="31"/>
      <c r="Q695"/>
      <c r="W695" s="2523">
        <f aca="true" t="shared" si="90" ref="W695:W758">X695*1.2</f>
        <v>34800</v>
      </c>
      <c r="X695" s="2545">
        <v>29000</v>
      </c>
    </row>
    <row r="696" spans="1:24" ht="18.75">
      <c r="A696" s="92">
        <f>A691</f>
        <v>3</v>
      </c>
      <c r="B696" s="75"/>
      <c r="C696" s="126" t="str">
        <f>C691</f>
        <v>Наложение гипсовой лангеты</v>
      </c>
      <c r="D696" s="17"/>
      <c r="E696" s="17"/>
      <c r="I696" s="540" t="s">
        <v>796</v>
      </c>
      <c r="J696" s="1157">
        <v>132600</v>
      </c>
      <c r="K696" s="1347">
        <f>K691</f>
        <v>13.216000000000001</v>
      </c>
      <c r="L696" s="1348">
        <f>SUM(J696:K696)</f>
        <v>132613.216</v>
      </c>
      <c r="M696" s="1462">
        <f>J696/10000</f>
        <v>13.26</v>
      </c>
      <c r="N696" s="1465">
        <f>N691</f>
        <v>13.216000000000001</v>
      </c>
      <c r="O696" s="1440">
        <f>SUM(M696:N696)</f>
        <v>26.476</v>
      </c>
      <c r="P696" s="31"/>
      <c r="Q696"/>
      <c r="W696" s="2523">
        <f t="shared" si="90"/>
        <v>132600</v>
      </c>
      <c r="X696" s="2545">
        <v>110500</v>
      </c>
    </row>
    <row r="697" spans="1:24" ht="18.75">
      <c r="A697" s="92">
        <f>A692</f>
        <v>4</v>
      </c>
      <c r="B697" s="75"/>
      <c r="C697" s="126" t="str">
        <f>C692</f>
        <v>Вправление вывиха</v>
      </c>
      <c r="D697" s="17"/>
      <c r="E697" s="17"/>
      <c r="I697" s="540" t="s">
        <v>796</v>
      </c>
      <c r="J697" s="1157">
        <v>132600</v>
      </c>
      <c r="K697" s="1347">
        <f>K692</f>
        <v>7.291099999999999</v>
      </c>
      <c r="L697" s="1348">
        <f>SUM(J697:K697)</f>
        <v>132607.2911</v>
      </c>
      <c r="M697" s="1462">
        <f>J697/10000</f>
        <v>13.26</v>
      </c>
      <c r="N697" s="1465">
        <f>N692</f>
        <v>7.291099999999999</v>
      </c>
      <c r="O697" s="1440">
        <f>SUM(M697:N697)</f>
        <v>20.551099999999998</v>
      </c>
      <c r="P697" s="31"/>
      <c r="Q697"/>
      <c r="W697" s="2523">
        <f t="shared" si="90"/>
        <v>132600</v>
      </c>
      <c r="X697" s="2545">
        <v>110500</v>
      </c>
    </row>
    <row r="698" spans="1:24" ht="18.75">
      <c r="A698" s="92"/>
      <c r="B698" s="75"/>
      <c r="C698" s="3"/>
      <c r="D698" s="17"/>
      <c r="E698" s="17"/>
      <c r="I698" s="540"/>
      <c r="J698" s="1136"/>
      <c r="K698" s="1347"/>
      <c r="L698" s="1348"/>
      <c r="M698" s="1487"/>
      <c r="N698" s="1465"/>
      <c r="O698" s="1440"/>
      <c r="P698" s="31"/>
      <c r="Q698"/>
      <c r="W698" s="2523">
        <f t="shared" si="90"/>
        <v>0</v>
      </c>
      <c r="X698" s="2545"/>
    </row>
    <row r="699" spans="1:24" ht="18.75">
      <c r="A699" s="144" t="s">
        <v>791</v>
      </c>
      <c r="B699" s="93" t="s">
        <v>411</v>
      </c>
      <c r="C699" s="3"/>
      <c r="D699" s="17"/>
      <c r="E699" s="17"/>
      <c r="I699" s="540"/>
      <c r="J699" s="1136"/>
      <c r="K699" s="1347"/>
      <c r="L699" s="1348"/>
      <c r="M699" s="1487"/>
      <c r="N699" s="1465"/>
      <c r="O699" s="1440"/>
      <c r="P699" s="31"/>
      <c r="Q699"/>
      <c r="W699" s="2523">
        <f t="shared" si="90"/>
        <v>0</v>
      </c>
      <c r="X699" s="2545"/>
    </row>
    <row r="700" spans="1:24" ht="18.75">
      <c r="A700" s="144" t="s">
        <v>525</v>
      </c>
      <c r="B700" s="93"/>
      <c r="C700" s="635" t="s">
        <v>200</v>
      </c>
      <c r="D700" s="17"/>
      <c r="E700" s="17"/>
      <c r="I700" s="540"/>
      <c r="J700" s="1136"/>
      <c r="K700" s="1347"/>
      <c r="L700" s="1348"/>
      <c r="M700" s="1487"/>
      <c r="N700" s="1465"/>
      <c r="O700" s="1440"/>
      <c r="P700" s="31"/>
      <c r="Q700"/>
      <c r="W700" s="2523">
        <f t="shared" si="90"/>
        <v>0</v>
      </c>
      <c r="X700" s="2545"/>
    </row>
    <row r="701" spans="1:24" ht="18.75">
      <c r="A701" s="92">
        <v>1</v>
      </c>
      <c r="B701" s="93"/>
      <c r="C701" s="126" t="s">
        <v>412</v>
      </c>
      <c r="D701" s="17"/>
      <c r="E701" s="17"/>
      <c r="I701" s="1034" t="s">
        <v>568</v>
      </c>
      <c r="J701" s="1157">
        <v>314800</v>
      </c>
      <c r="K701" s="1347"/>
      <c r="L701" s="1348">
        <f aca="true" t="shared" si="91" ref="L701:L727">SUM(J701:K701)</f>
        <v>314800</v>
      </c>
      <c r="M701" s="1462">
        <f aca="true" t="shared" si="92" ref="M701:M713">J701/10000</f>
        <v>31.48</v>
      </c>
      <c r="N701" s="1463">
        <f aca="true" t="shared" si="93" ref="N701:N713">K701</f>
        <v>0</v>
      </c>
      <c r="O701" s="1440">
        <f aca="true" t="shared" si="94" ref="O701:O713">SUM(M701:N701)</f>
        <v>31.48</v>
      </c>
      <c r="P701" s="31"/>
      <c r="Q701"/>
      <c r="W701" s="2523">
        <f t="shared" si="90"/>
        <v>314760</v>
      </c>
      <c r="X701" s="2545">
        <v>262300</v>
      </c>
    </row>
    <row r="702" spans="1:24" ht="18.75">
      <c r="A702" s="92">
        <v>2</v>
      </c>
      <c r="B702" s="93"/>
      <c r="C702" s="126" t="s">
        <v>415</v>
      </c>
      <c r="D702" s="17"/>
      <c r="E702" s="17"/>
      <c r="I702" s="1034" t="s">
        <v>568</v>
      </c>
      <c r="J702" s="1157">
        <v>325100</v>
      </c>
      <c r="K702" s="1347"/>
      <c r="L702" s="1348">
        <f t="shared" si="91"/>
        <v>325100</v>
      </c>
      <c r="M702" s="1462">
        <f t="shared" si="92"/>
        <v>32.51</v>
      </c>
      <c r="N702" s="1463">
        <f t="shared" si="93"/>
        <v>0</v>
      </c>
      <c r="O702" s="1440">
        <f t="shared" si="94"/>
        <v>32.51</v>
      </c>
      <c r="P702" s="31"/>
      <c r="Q702"/>
      <c r="W702" s="2523">
        <f t="shared" si="90"/>
        <v>325080</v>
      </c>
      <c r="X702" s="2545">
        <v>270900</v>
      </c>
    </row>
    <row r="703" spans="1:24" ht="18.75">
      <c r="A703" s="92">
        <v>3</v>
      </c>
      <c r="B703" s="93"/>
      <c r="C703" s="126" t="s">
        <v>416</v>
      </c>
      <c r="D703" s="17"/>
      <c r="E703" s="17"/>
      <c r="I703" s="1034" t="s">
        <v>568</v>
      </c>
      <c r="J703" s="1157">
        <v>471000</v>
      </c>
      <c r="K703" s="1347"/>
      <c r="L703" s="1348">
        <f t="shared" si="91"/>
        <v>471000</v>
      </c>
      <c r="M703" s="1462">
        <f t="shared" si="92"/>
        <v>47.1</v>
      </c>
      <c r="N703" s="1463">
        <f t="shared" si="93"/>
        <v>0</v>
      </c>
      <c r="O703" s="1440">
        <f t="shared" si="94"/>
        <v>47.1</v>
      </c>
      <c r="P703" s="31"/>
      <c r="Q703"/>
      <c r="W703" s="2523">
        <f t="shared" si="90"/>
        <v>471000</v>
      </c>
      <c r="X703" s="2545">
        <v>392500</v>
      </c>
    </row>
    <row r="704" spans="1:24" ht="18.75">
      <c r="A704" s="92">
        <v>4</v>
      </c>
      <c r="B704" s="93"/>
      <c r="C704" s="126" t="s">
        <v>417</v>
      </c>
      <c r="D704" s="17"/>
      <c r="E704" s="17"/>
      <c r="I704" s="1034" t="s">
        <v>568</v>
      </c>
      <c r="J704" s="1157">
        <v>670700</v>
      </c>
      <c r="K704" s="1347"/>
      <c r="L704" s="1348">
        <f t="shared" si="91"/>
        <v>670700</v>
      </c>
      <c r="M704" s="1462">
        <f t="shared" si="92"/>
        <v>67.07</v>
      </c>
      <c r="N704" s="1463">
        <f t="shared" si="93"/>
        <v>0</v>
      </c>
      <c r="O704" s="1440">
        <f t="shared" si="94"/>
        <v>67.07</v>
      </c>
      <c r="P704" s="31"/>
      <c r="Q704"/>
      <c r="W704" s="2523">
        <f t="shared" si="90"/>
        <v>670680</v>
      </c>
      <c r="X704" s="2545">
        <v>558900</v>
      </c>
    </row>
    <row r="705" spans="1:24" ht="18.75">
      <c r="A705" s="92">
        <v>5</v>
      </c>
      <c r="B705" s="93"/>
      <c r="C705" s="126" t="s">
        <v>418</v>
      </c>
      <c r="D705" s="17"/>
      <c r="E705" s="17"/>
      <c r="I705" s="1034" t="s">
        <v>568</v>
      </c>
      <c r="J705" s="1157">
        <v>325100</v>
      </c>
      <c r="K705" s="1347"/>
      <c r="L705" s="1348">
        <f t="shared" si="91"/>
        <v>325100</v>
      </c>
      <c r="M705" s="1462">
        <f t="shared" si="92"/>
        <v>32.51</v>
      </c>
      <c r="N705" s="1463">
        <f t="shared" si="93"/>
        <v>0</v>
      </c>
      <c r="O705" s="1440">
        <f t="shared" si="94"/>
        <v>32.51</v>
      </c>
      <c r="P705" s="31"/>
      <c r="Q705"/>
      <c r="W705" s="2523">
        <f t="shared" si="90"/>
        <v>325080</v>
      </c>
      <c r="X705" s="2545">
        <v>270900</v>
      </c>
    </row>
    <row r="706" spans="1:24" ht="18.75">
      <c r="A706" s="92">
        <v>6</v>
      </c>
      <c r="B706" s="93"/>
      <c r="C706" s="126" t="s">
        <v>419</v>
      </c>
      <c r="D706" s="17"/>
      <c r="E706" s="17"/>
      <c r="I706" s="1034" t="s">
        <v>568</v>
      </c>
      <c r="J706" s="1891">
        <v>1305600</v>
      </c>
      <c r="K706" s="1347"/>
      <c r="L706" s="1348">
        <f t="shared" si="91"/>
        <v>1305600</v>
      </c>
      <c r="M706" s="1462">
        <f t="shared" si="92"/>
        <v>130.56</v>
      </c>
      <c r="N706" s="1463">
        <f t="shared" si="93"/>
        <v>0</v>
      </c>
      <c r="O706" s="1440">
        <f t="shared" si="94"/>
        <v>130.56</v>
      </c>
      <c r="P706" s="31"/>
      <c r="Q706"/>
      <c r="W706" s="2523">
        <f t="shared" si="90"/>
        <v>1305600</v>
      </c>
      <c r="X706" s="2545">
        <v>1088000</v>
      </c>
    </row>
    <row r="707" spans="1:24" ht="18.75">
      <c r="A707" s="92">
        <v>7</v>
      </c>
      <c r="B707" s="93"/>
      <c r="C707" s="126" t="s">
        <v>420</v>
      </c>
      <c r="D707" s="17"/>
      <c r="E707" s="17"/>
      <c r="I707" s="1034" t="s">
        <v>568</v>
      </c>
      <c r="J707" s="1891">
        <v>1705000</v>
      </c>
      <c r="K707" s="1347"/>
      <c r="L707" s="1348">
        <f t="shared" si="91"/>
        <v>1705000</v>
      </c>
      <c r="M707" s="1462">
        <f t="shared" si="92"/>
        <v>170.5</v>
      </c>
      <c r="N707" s="1463">
        <f t="shared" si="93"/>
        <v>0</v>
      </c>
      <c r="O707" s="1440">
        <f t="shared" si="94"/>
        <v>170.5</v>
      </c>
      <c r="P707" s="31"/>
      <c r="Q707"/>
      <c r="W707" s="2523">
        <f t="shared" si="90"/>
        <v>1704960</v>
      </c>
      <c r="X707" s="2545">
        <v>1420800</v>
      </c>
    </row>
    <row r="708" spans="1:24" ht="18.75">
      <c r="A708" s="92">
        <v>8</v>
      </c>
      <c r="B708" s="93"/>
      <c r="C708" s="126" t="s">
        <v>421</v>
      </c>
      <c r="D708" s="17"/>
      <c r="E708" s="17"/>
      <c r="I708" s="1034" t="s">
        <v>568</v>
      </c>
      <c r="J708" s="1157">
        <v>942000</v>
      </c>
      <c r="K708" s="1347"/>
      <c r="L708" s="1348">
        <f t="shared" si="91"/>
        <v>942000</v>
      </c>
      <c r="M708" s="1462">
        <f t="shared" si="92"/>
        <v>94.2</v>
      </c>
      <c r="N708" s="1463">
        <f t="shared" si="93"/>
        <v>0</v>
      </c>
      <c r="O708" s="1440">
        <f t="shared" si="94"/>
        <v>94.2</v>
      </c>
      <c r="P708" s="31"/>
      <c r="Q708"/>
      <c r="W708" s="2523">
        <f t="shared" si="90"/>
        <v>942000</v>
      </c>
      <c r="X708" s="2545">
        <v>785000</v>
      </c>
    </row>
    <row r="709" spans="1:24" ht="18.75">
      <c r="A709" s="92">
        <v>9</v>
      </c>
      <c r="B709" s="93"/>
      <c r="C709" s="126" t="s">
        <v>422</v>
      </c>
      <c r="D709" s="17"/>
      <c r="E709" s="17"/>
      <c r="I709" s="1034" t="s">
        <v>568</v>
      </c>
      <c r="J709" s="1891">
        <v>1812500</v>
      </c>
      <c r="K709" s="1347"/>
      <c r="L709" s="1348">
        <f t="shared" si="91"/>
        <v>1812500</v>
      </c>
      <c r="M709" s="1462">
        <f t="shared" si="92"/>
        <v>181.25</v>
      </c>
      <c r="N709" s="1463">
        <f t="shared" si="93"/>
        <v>0</v>
      </c>
      <c r="O709" s="1440">
        <f t="shared" si="94"/>
        <v>181.25</v>
      </c>
      <c r="P709" s="31"/>
      <c r="Q709"/>
      <c r="W709" s="2523">
        <f t="shared" si="90"/>
        <v>1812480</v>
      </c>
      <c r="X709" s="2545">
        <v>1510400</v>
      </c>
    </row>
    <row r="710" spans="1:24" ht="18.75">
      <c r="A710" s="92">
        <v>10</v>
      </c>
      <c r="B710" s="75"/>
      <c r="C710" s="126" t="s">
        <v>423</v>
      </c>
      <c r="D710" s="17"/>
      <c r="E710" s="17"/>
      <c r="I710" s="1034" t="s">
        <v>568</v>
      </c>
      <c r="J710" s="1157">
        <v>906200</v>
      </c>
      <c r="K710" s="1347"/>
      <c r="L710" s="1348">
        <f t="shared" si="91"/>
        <v>906200</v>
      </c>
      <c r="M710" s="1462">
        <f t="shared" si="92"/>
        <v>90.62</v>
      </c>
      <c r="N710" s="1463">
        <f t="shared" si="93"/>
        <v>0</v>
      </c>
      <c r="O710" s="1440">
        <f t="shared" si="94"/>
        <v>90.62</v>
      </c>
      <c r="P710" s="31"/>
      <c r="Q710"/>
      <c r="W710" s="2523">
        <f t="shared" si="90"/>
        <v>906240</v>
      </c>
      <c r="X710" s="2545">
        <v>755200</v>
      </c>
    </row>
    <row r="711" spans="1:24" ht="18.75">
      <c r="A711" s="92">
        <v>11</v>
      </c>
      <c r="B711" s="75"/>
      <c r="C711" s="126" t="s">
        <v>424</v>
      </c>
      <c r="D711" s="17"/>
      <c r="E711" s="17"/>
      <c r="I711" s="1034" t="s">
        <v>568</v>
      </c>
      <c r="J711" s="1157">
        <v>906200</v>
      </c>
      <c r="K711" s="1347"/>
      <c r="L711" s="1348">
        <f t="shared" si="91"/>
        <v>906200</v>
      </c>
      <c r="M711" s="1462">
        <f t="shared" si="92"/>
        <v>90.62</v>
      </c>
      <c r="N711" s="1463">
        <f t="shared" si="93"/>
        <v>0</v>
      </c>
      <c r="O711" s="1440">
        <f t="shared" si="94"/>
        <v>90.62</v>
      </c>
      <c r="P711" s="31"/>
      <c r="Q711"/>
      <c r="W711" s="2523">
        <f t="shared" si="90"/>
        <v>906240</v>
      </c>
      <c r="X711" s="2545">
        <v>755200</v>
      </c>
    </row>
    <row r="712" spans="1:24" ht="18.75">
      <c r="A712" s="92">
        <v>12</v>
      </c>
      <c r="B712" s="75"/>
      <c r="C712" s="126" t="s">
        <v>425</v>
      </c>
      <c r="D712" s="17"/>
      <c r="E712" s="17"/>
      <c r="I712" s="1034" t="s">
        <v>568</v>
      </c>
      <c r="J712" s="1157">
        <v>906200</v>
      </c>
      <c r="K712" s="1347"/>
      <c r="L712" s="1348">
        <f t="shared" si="91"/>
        <v>906200</v>
      </c>
      <c r="M712" s="1462">
        <f t="shared" si="92"/>
        <v>90.62</v>
      </c>
      <c r="N712" s="1463">
        <f t="shared" si="93"/>
        <v>0</v>
      </c>
      <c r="O712" s="1440">
        <f t="shared" si="94"/>
        <v>90.62</v>
      </c>
      <c r="P712" s="31"/>
      <c r="Q712"/>
      <c r="W712" s="2523">
        <f t="shared" si="90"/>
        <v>906240</v>
      </c>
      <c r="X712" s="2545">
        <v>755200</v>
      </c>
    </row>
    <row r="713" spans="1:24" ht="18.75">
      <c r="A713" s="92">
        <v>13</v>
      </c>
      <c r="B713" s="75"/>
      <c r="C713" s="126" t="s">
        <v>426</v>
      </c>
      <c r="D713" s="17"/>
      <c r="E713" s="17"/>
      <c r="I713" s="1034" t="s">
        <v>568</v>
      </c>
      <c r="J713" s="1891">
        <v>1812500</v>
      </c>
      <c r="K713" s="1347"/>
      <c r="L713" s="1348">
        <f t="shared" si="91"/>
        <v>1812500</v>
      </c>
      <c r="M713" s="1462">
        <f t="shared" si="92"/>
        <v>181.25</v>
      </c>
      <c r="N713" s="1463">
        <f t="shared" si="93"/>
        <v>0</v>
      </c>
      <c r="O713" s="1440">
        <f t="shared" si="94"/>
        <v>181.25</v>
      </c>
      <c r="P713" s="31"/>
      <c r="Q713"/>
      <c r="W713" s="2523">
        <f t="shared" si="90"/>
        <v>1812480</v>
      </c>
      <c r="X713" s="2545">
        <v>1510400</v>
      </c>
    </row>
    <row r="714" spans="1:24" ht="18.75">
      <c r="A714" s="144" t="s">
        <v>528</v>
      </c>
      <c r="B714" s="75"/>
      <c r="C714" s="635" t="s">
        <v>201</v>
      </c>
      <c r="D714" s="17"/>
      <c r="E714" s="17"/>
      <c r="I714" s="540"/>
      <c r="J714" s="1157"/>
      <c r="K714" s="1347"/>
      <c r="L714" s="1348"/>
      <c r="M714" s="1486"/>
      <c r="N714" s="1465"/>
      <c r="O714" s="1440"/>
      <c r="P714" s="31"/>
      <c r="Q714"/>
      <c r="W714" s="2523">
        <f t="shared" si="90"/>
        <v>0</v>
      </c>
      <c r="X714" s="2545"/>
    </row>
    <row r="715" spans="1:24" ht="18.75">
      <c r="A715" s="92">
        <v>1</v>
      </c>
      <c r="B715" s="75"/>
      <c r="C715" s="126" t="str">
        <f>C701</f>
        <v>Первичная хирургическая обработка раны</v>
      </c>
      <c r="D715" s="17"/>
      <c r="E715" s="17"/>
      <c r="I715" s="1034" t="s">
        <v>568</v>
      </c>
      <c r="J715" s="1157">
        <v>116900</v>
      </c>
      <c r="K715" s="1347"/>
      <c r="L715" s="1348">
        <f t="shared" si="91"/>
        <v>116900</v>
      </c>
      <c r="M715" s="1462">
        <f aca="true" t="shared" si="95" ref="M715:M727">J715/10000</f>
        <v>11.69</v>
      </c>
      <c r="N715" s="1463">
        <f aca="true" t="shared" si="96" ref="N715:N727">K715</f>
        <v>0</v>
      </c>
      <c r="O715" s="1440">
        <f aca="true" t="shared" si="97" ref="O715:O727">SUM(M715:N715)</f>
        <v>11.69</v>
      </c>
      <c r="P715" s="31"/>
      <c r="Q715"/>
      <c r="W715" s="2523">
        <f t="shared" si="90"/>
        <v>116880</v>
      </c>
      <c r="X715" s="2545">
        <v>97400</v>
      </c>
    </row>
    <row r="716" spans="1:24" ht="18.75">
      <c r="A716" s="92">
        <v>2</v>
      </c>
      <c r="B716" s="75"/>
      <c r="C716" s="126" t="str">
        <f aca="true" t="shared" si="98" ref="C716:C727">C702</f>
        <v>Вскрытие и дренирование фурункула или карбункула или гидраденита</v>
      </c>
      <c r="D716" s="17"/>
      <c r="E716" s="17"/>
      <c r="I716" s="1034" t="s">
        <v>568</v>
      </c>
      <c r="J716" s="1157">
        <v>120700</v>
      </c>
      <c r="K716" s="1347"/>
      <c r="L716" s="1348">
        <f t="shared" si="91"/>
        <v>120700</v>
      </c>
      <c r="M716" s="1462">
        <f t="shared" si="95"/>
        <v>12.07</v>
      </c>
      <c r="N716" s="1463">
        <f t="shared" si="96"/>
        <v>0</v>
      </c>
      <c r="O716" s="1440">
        <f t="shared" si="97"/>
        <v>12.07</v>
      </c>
      <c r="P716" s="31"/>
      <c r="Q716"/>
      <c r="W716" s="2523">
        <f t="shared" si="90"/>
        <v>120720</v>
      </c>
      <c r="X716" s="2545">
        <v>100600</v>
      </c>
    </row>
    <row r="717" spans="1:24" ht="18.75">
      <c r="A717" s="92">
        <v>3</v>
      </c>
      <c r="B717" s="75"/>
      <c r="C717" s="126" t="str">
        <f t="shared" si="98"/>
        <v>Радикальное иссечение и дренирование флегмон или абсцессов</v>
      </c>
      <c r="D717" s="17"/>
      <c r="E717" s="17"/>
      <c r="I717" s="1034" t="s">
        <v>568</v>
      </c>
      <c r="J717" s="1157">
        <v>175000</v>
      </c>
      <c r="K717" s="1347"/>
      <c r="L717" s="1348">
        <f t="shared" si="91"/>
        <v>175000</v>
      </c>
      <c r="M717" s="1462">
        <f t="shared" si="95"/>
        <v>17.5</v>
      </c>
      <c r="N717" s="1463">
        <f t="shared" si="96"/>
        <v>0</v>
      </c>
      <c r="O717" s="1440">
        <f t="shared" si="97"/>
        <v>17.5</v>
      </c>
      <c r="P717" s="31"/>
      <c r="Q717"/>
      <c r="W717" s="2523">
        <f t="shared" si="90"/>
        <v>174960</v>
      </c>
      <c r="X717" s="2545">
        <v>145800</v>
      </c>
    </row>
    <row r="718" spans="1:24" ht="18.75">
      <c r="A718" s="92">
        <v>4</v>
      </c>
      <c r="B718" s="75"/>
      <c r="C718" s="126" t="str">
        <f t="shared" si="98"/>
        <v>Удаление нагноившейся опухоли</v>
      </c>
      <c r="D718" s="17"/>
      <c r="E718" s="17"/>
      <c r="I718" s="1034" t="s">
        <v>568</v>
      </c>
      <c r="J718" s="1157">
        <v>249100</v>
      </c>
      <c r="K718" s="1347"/>
      <c r="L718" s="1348">
        <f t="shared" si="91"/>
        <v>249100</v>
      </c>
      <c r="M718" s="1462">
        <f t="shared" si="95"/>
        <v>24.91</v>
      </c>
      <c r="N718" s="1463">
        <f t="shared" si="96"/>
        <v>0</v>
      </c>
      <c r="O718" s="1440">
        <f t="shared" si="97"/>
        <v>24.91</v>
      </c>
      <c r="P718" s="31"/>
      <c r="Q718"/>
      <c r="W718" s="2523">
        <f t="shared" si="90"/>
        <v>249120</v>
      </c>
      <c r="X718" s="2545">
        <v>207600</v>
      </c>
    </row>
    <row r="719" spans="1:24" ht="18.75">
      <c r="A719" s="92">
        <v>5</v>
      </c>
      <c r="B719" s="75"/>
      <c r="C719" s="126" t="str">
        <f t="shared" si="98"/>
        <v>Вскрытие кожного или подкожного панариция </v>
      </c>
      <c r="D719" s="17"/>
      <c r="E719" s="17"/>
      <c r="I719" s="1034" t="s">
        <v>568</v>
      </c>
      <c r="J719" s="1157">
        <v>120700</v>
      </c>
      <c r="K719" s="1347"/>
      <c r="L719" s="1348">
        <f t="shared" si="91"/>
        <v>120700</v>
      </c>
      <c r="M719" s="1462">
        <f t="shared" si="95"/>
        <v>12.07</v>
      </c>
      <c r="N719" s="1463">
        <f t="shared" si="96"/>
        <v>0</v>
      </c>
      <c r="O719" s="1440">
        <f t="shared" si="97"/>
        <v>12.07</v>
      </c>
      <c r="P719" s="31"/>
      <c r="Q719"/>
      <c r="W719" s="2523">
        <f t="shared" si="90"/>
        <v>120720</v>
      </c>
      <c r="X719" s="2545">
        <v>100600</v>
      </c>
    </row>
    <row r="720" spans="1:24" ht="18.75">
      <c r="A720" s="92">
        <v>6</v>
      </c>
      <c r="B720" s="75"/>
      <c r="C720" s="126" t="str">
        <f t="shared" si="98"/>
        <v>Лапароскопическая холецистэктомия</v>
      </c>
      <c r="D720" s="17"/>
      <c r="E720" s="17"/>
      <c r="I720" s="1034" t="s">
        <v>568</v>
      </c>
      <c r="J720" s="1157">
        <v>484900</v>
      </c>
      <c r="K720" s="1347"/>
      <c r="L720" s="1348">
        <f t="shared" si="91"/>
        <v>484900</v>
      </c>
      <c r="M720" s="1462">
        <f t="shared" si="95"/>
        <v>48.49</v>
      </c>
      <c r="N720" s="1463">
        <f t="shared" si="96"/>
        <v>0</v>
      </c>
      <c r="O720" s="1440">
        <f t="shared" si="97"/>
        <v>48.49</v>
      </c>
      <c r="P720" s="31"/>
      <c r="Q720"/>
      <c r="W720" s="2523">
        <f t="shared" si="90"/>
        <v>484920</v>
      </c>
      <c r="X720" s="2545">
        <v>404100</v>
      </c>
    </row>
    <row r="721" spans="1:24" ht="18.75">
      <c r="A721" s="92">
        <v>7</v>
      </c>
      <c r="B721" s="75"/>
      <c r="C721" s="126" t="str">
        <f t="shared" si="98"/>
        <v>Открытая холецистэктомия</v>
      </c>
      <c r="D721" s="17"/>
      <c r="E721" s="17"/>
      <c r="I721" s="1034" t="s">
        <v>568</v>
      </c>
      <c r="J721" s="1157">
        <v>633200</v>
      </c>
      <c r="K721" s="1347"/>
      <c r="L721" s="1348">
        <f t="shared" si="91"/>
        <v>633200</v>
      </c>
      <c r="M721" s="1462">
        <f t="shared" si="95"/>
        <v>63.32</v>
      </c>
      <c r="N721" s="1463">
        <f t="shared" si="96"/>
        <v>0</v>
      </c>
      <c r="O721" s="1440">
        <f t="shared" si="97"/>
        <v>63.32</v>
      </c>
      <c r="P721" s="31"/>
      <c r="Q721"/>
      <c r="W721" s="2523">
        <f t="shared" si="90"/>
        <v>633240</v>
      </c>
      <c r="X721" s="2545">
        <v>527700</v>
      </c>
    </row>
    <row r="722" spans="1:24" ht="18.75">
      <c r="A722" s="92">
        <v>8</v>
      </c>
      <c r="B722" s="75"/>
      <c r="C722" s="126" t="str">
        <f t="shared" si="98"/>
        <v>Грыжесечение паховой грыжи (простой)</v>
      </c>
      <c r="D722" s="17"/>
      <c r="E722" s="17"/>
      <c r="I722" s="1034" t="s">
        <v>568</v>
      </c>
      <c r="J722" s="1157">
        <v>349900</v>
      </c>
      <c r="K722" s="1347"/>
      <c r="L722" s="1348">
        <f t="shared" si="91"/>
        <v>349900</v>
      </c>
      <c r="M722" s="1462">
        <f t="shared" si="95"/>
        <v>34.99</v>
      </c>
      <c r="N722" s="1463">
        <f t="shared" si="96"/>
        <v>0</v>
      </c>
      <c r="O722" s="1440">
        <f t="shared" si="97"/>
        <v>34.99</v>
      </c>
      <c r="P722" s="31"/>
      <c r="Q722"/>
      <c r="W722" s="2523">
        <f t="shared" si="90"/>
        <v>349920</v>
      </c>
      <c r="X722" s="2545">
        <v>291600</v>
      </c>
    </row>
    <row r="723" spans="1:24" ht="18.75">
      <c r="A723" s="92">
        <v>9</v>
      </c>
      <c r="B723" s="75"/>
      <c r="C723" s="126" t="str">
        <f t="shared" si="98"/>
        <v>Грыжесечение паховой грыжи двусторонней (простой)</v>
      </c>
      <c r="D723" s="17"/>
      <c r="E723" s="17"/>
      <c r="I723" s="1034" t="s">
        <v>568</v>
      </c>
      <c r="J723" s="1157">
        <v>673200</v>
      </c>
      <c r="K723" s="1347"/>
      <c r="L723" s="1348">
        <f t="shared" si="91"/>
        <v>673200</v>
      </c>
      <c r="M723" s="1462">
        <f t="shared" si="95"/>
        <v>67.32</v>
      </c>
      <c r="N723" s="1463">
        <f t="shared" si="96"/>
        <v>0</v>
      </c>
      <c r="O723" s="1440">
        <f t="shared" si="97"/>
        <v>67.32</v>
      </c>
      <c r="P723" s="31"/>
      <c r="Q723"/>
      <c r="W723" s="2523">
        <f t="shared" si="90"/>
        <v>673200</v>
      </c>
      <c r="X723" s="2545">
        <v>561000</v>
      </c>
    </row>
    <row r="724" spans="1:24" ht="18.75">
      <c r="A724" s="92">
        <v>10</v>
      </c>
      <c r="B724" s="75"/>
      <c r="C724" s="126" t="str">
        <f t="shared" si="98"/>
        <v>Грыжесечение пупочной грыжи (простой)</v>
      </c>
      <c r="D724" s="17"/>
      <c r="E724" s="17"/>
      <c r="I724" s="1034" t="s">
        <v>568</v>
      </c>
      <c r="J724" s="1157">
        <v>336600</v>
      </c>
      <c r="K724" s="1347"/>
      <c r="L724" s="1348">
        <f t="shared" si="91"/>
        <v>336600</v>
      </c>
      <c r="M724" s="1462">
        <f t="shared" si="95"/>
        <v>33.66</v>
      </c>
      <c r="N724" s="1463">
        <f t="shared" si="96"/>
        <v>0</v>
      </c>
      <c r="O724" s="1440">
        <f t="shared" si="97"/>
        <v>33.66</v>
      </c>
      <c r="P724" s="31"/>
      <c r="Q724"/>
      <c r="W724" s="2523">
        <f t="shared" si="90"/>
        <v>336600</v>
      </c>
      <c r="X724" s="2545">
        <v>280500</v>
      </c>
    </row>
    <row r="725" spans="1:24" ht="18.75">
      <c r="A725" s="92">
        <v>11</v>
      </c>
      <c r="B725" s="75"/>
      <c r="C725" s="126" t="str">
        <f t="shared" si="98"/>
        <v>Грыжесечение грыжи спигелевой линии</v>
      </c>
      <c r="D725" s="17"/>
      <c r="E725" s="17"/>
      <c r="I725" s="1034" t="s">
        <v>568</v>
      </c>
      <c r="J725" s="1157">
        <v>336600</v>
      </c>
      <c r="K725" s="1347"/>
      <c r="L725" s="1348">
        <f t="shared" si="91"/>
        <v>336600</v>
      </c>
      <c r="M725" s="1462">
        <f t="shared" si="95"/>
        <v>33.66</v>
      </c>
      <c r="N725" s="1463">
        <f t="shared" si="96"/>
        <v>0</v>
      </c>
      <c r="O725" s="1440">
        <f t="shared" si="97"/>
        <v>33.66</v>
      </c>
      <c r="P725" s="31"/>
      <c r="Q725"/>
      <c r="W725" s="2523">
        <f t="shared" si="90"/>
        <v>336600</v>
      </c>
      <c r="X725" s="2545">
        <v>280500</v>
      </c>
    </row>
    <row r="726" spans="1:24" ht="18.75">
      <c r="A726" s="92">
        <v>12</v>
      </c>
      <c r="B726" s="75"/>
      <c r="C726" s="126" t="str">
        <f t="shared" si="98"/>
        <v>Грыжесечение бедренной грыжи простой</v>
      </c>
      <c r="D726" s="17"/>
      <c r="E726" s="17"/>
      <c r="I726" s="1034" t="s">
        <v>568</v>
      </c>
      <c r="J726" s="1157">
        <v>336600</v>
      </c>
      <c r="K726" s="1347"/>
      <c r="L726" s="1348">
        <f t="shared" si="91"/>
        <v>336600</v>
      </c>
      <c r="M726" s="1462">
        <f t="shared" si="95"/>
        <v>33.66</v>
      </c>
      <c r="N726" s="1463">
        <f t="shared" si="96"/>
        <v>0</v>
      </c>
      <c r="O726" s="1440">
        <f t="shared" si="97"/>
        <v>33.66</v>
      </c>
      <c r="P726" s="31"/>
      <c r="Q726"/>
      <c r="W726" s="2523">
        <f t="shared" si="90"/>
        <v>336600</v>
      </c>
      <c r="X726" s="2545">
        <v>280500</v>
      </c>
    </row>
    <row r="727" spans="1:24" ht="18.75">
      <c r="A727" s="92">
        <v>13</v>
      </c>
      <c r="B727" s="75"/>
      <c r="C727" s="126" t="str">
        <f t="shared" si="98"/>
        <v>Операция по поводу послеоперационной вентральной грыжи (простой)</v>
      </c>
      <c r="D727" s="17"/>
      <c r="E727" s="17"/>
      <c r="I727" s="1034" t="s">
        <v>568</v>
      </c>
      <c r="J727" s="1157">
        <v>673200</v>
      </c>
      <c r="K727" s="1347"/>
      <c r="L727" s="1348">
        <f t="shared" si="91"/>
        <v>673200</v>
      </c>
      <c r="M727" s="1462">
        <f t="shared" si="95"/>
        <v>67.32</v>
      </c>
      <c r="N727" s="1463">
        <f t="shared" si="96"/>
        <v>0</v>
      </c>
      <c r="O727" s="1440">
        <f t="shared" si="97"/>
        <v>67.32</v>
      </c>
      <c r="P727" s="31"/>
      <c r="Q727"/>
      <c r="W727" s="2523">
        <f t="shared" si="90"/>
        <v>673200</v>
      </c>
      <c r="X727" s="2545">
        <v>561000</v>
      </c>
    </row>
    <row r="728" spans="1:24" ht="18.75">
      <c r="A728" s="92"/>
      <c r="B728" s="75"/>
      <c r="C728" s="3"/>
      <c r="D728" s="17"/>
      <c r="E728" s="17"/>
      <c r="I728" s="540"/>
      <c r="J728" s="1136"/>
      <c r="K728" s="1347"/>
      <c r="L728" s="1348"/>
      <c r="M728" s="1487"/>
      <c r="N728" s="1465"/>
      <c r="O728" s="1440"/>
      <c r="P728" s="31"/>
      <c r="Q728"/>
      <c r="W728" s="2523">
        <f t="shared" si="90"/>
        <v>0</v>
      </c>
      <c r="X728" s="2545"/>
    </row>
    <row r="729" spans="1:26" s="19" customFormat="1" ht="18.75">
      <c r="A729" s="100" t="s">
        <v>798</v>
      </c>
      <c r="B729" s="93" t="s">
        <v>799</v>
      </c>
      <c r="C729" s="1023"/>
      <c r="D729" s="35"/>
      <c r="E729" s="48"/>
      <c r="F729" s="2"/>
      <c r="G729" s="2"/>
      <c r="H729" s="129"/>
      <c r="I729" s="540"/>
      <c r="J729" s="1136"/>
      <c r="K729" s="1347"/>
      <c r="L729" s="1324"/>
      <c r="M729" s="1487"/>
      <c r="N729" s="1465"/>
      <c r="O729" s="1440"/>
      <c r="P729" s="104"/>
      <c r="R729" s="2509"/>
      <c r="S729" s="2509"/>
      <c r="T729" s="2509"/>
      <c r="U729" s="2509"/>
      <c r="V729" s="2509"/>
      <c r="W729" s="2523">
        <f t="shared" si="90"/>
        <v>0</v>
      </c>
      <c r="X729" s="2545"/>
      <c r="Y729" s="2509"/>
      <c r="Z729" s="2509"/>
    </row>
    <row r="730" spans="1:26" s="19" customFormat="1" ht="18.75">
      <c r="A730" s="144" t="s">
        <v>202</v>
      </c>
      <c r="B730" s="91"/>
      <c r="C730" s="635" t="s">
        <v>200</v>
      </c>
      <c r="D730" s="48"/>
      <c r="E730" s="2"/>
      <c r="F730" s="2"/>
      <c r="G730" s="2"/>
      <c r="H730" s="129"/>
      <c r="I730" s="540"/>
      <c r="J730" s="1136"/>
      <c r="K730" s="1347"/>
      <c r="L730" s="1324"/>
      <c r="M730" s="1487"/>
      <c r="N730" s="1465"/>
      <c r="O730" s="1440"/>
      <c r="P730" s="104"/>
      <c r="R730" s="2509"/>
      <c r="S730" s="2509"/>
      <c r="T730" s="2509"/>
      <c r="U730" s="2509"/>
      <c r="V730" s="2509"/>
      <c r="W730" s="2523">
        <f t="shared" si="90"/>
        <v>0</v>
      </c>
      <c r="X730" s="2545"/>
      <c r="Y730" s="2509"/>
      <c r="Z730" s="2509"/>
    </row>
    <row r="731" spans="1:26" s="19" customFormat="1" ht="18.75">
      <c r="A731" s="92">
        <v>1</v>
      </c>
      <c r="B731" s="75"/>
      <c r="C731" s="126" t="s">
        <v>800</v>
      </c>
      <c r="D731" s="17"/>
      <c r="E731" s="48"/>
      <c r="F731" s="2"/>
      <c r="G731" s="2"/>
      <c r="H731" s="2"/>
      <c r="I731" s="1034" t="s">
        <v>789</v>
      </c>
      <c r="J731" s="1157">
        <v>254600</v>
      </c>
      <c r="K731" s="1347">
        <f>'[1]Офт.'!$G$11</f>
        <v>0.8200000000000001</v>
      </c>
      <c r="L731" s="1348">
        <f>SUM(J731:K731)</f>
        <v>254600.82</v>
      </c>
      <c r="M731" s="1462">
        <f>J731/10000</f>
        <v>25.46</v>
      </c>
      <c r="N731" s="1463">
        <f>K731</f>
        <v>0.8200000000000001</v>
      </c>
      <c r="O731" s="1440">
        <f>SUM(M731:N731)</f>
        <v>26.28</v>
      </c>
      <c r="P731" s="104"/>
      <c r="R731" s="2509"/>
      <c r="S731" s="2509"/>
      <c r="T731" s="2509"/>
      <c r="U731" s="2509"/>
      <c r="V731" s="2509"/>
      <c r="W731" s="2523">
        <f t="shared" si="90"/>
        <v>254640</v>
      </c>
      <c r="X731" s="2545">
        <v>212200</v>
      </c>
      <c r="Y731" s="2509"/>
      <c r="Z731" s="2509"/>
    </row>
    <row r="732" spans="1:26" s="19" customFormat="1" ht="18.75">
      <c r="A732" s="92">
        <v>2</v>
      </c>
      <c r="B732" s="75"/>
      <c r="C732" s="126" t="s">
        <v>801</v>
      </c>
      <c r="D732" s="17"/>
      <c r="E732" s="48"/>
      <c r="F732" s="2"/>
      <c r="G732" s="2"/>
      <c r="H732" s="2"/>
      <c r="I732" s="1034" t="s">
        <v>789</v>
      </c>
      <c r="J732" s="1157">
        <v>169700</v>
      </c>
      <c r="K732" s="1347">
        <f>'[1]Офт.'!$G$16</f>
        <v>0.8200000000000001</v>
      </c>
      <c r="L732" s="1348">
        <f>SUM(J732:K732)</f>
        <v>169700.82</v>
      </c>
      <c r="M732" s="1462">
        <f>J732/10000</f>
        <v>16.97</v>
      </c>
      <c r="N732" s="1463">
        <f>K732</f>
        <v>0.8200000000000001</v>
      </c>
      <c r="O732" s="1440">
        <f>SUM(M732:N732)</f>
        <v>17.79</v>
      </c>
      <c r="P732" s="104"/>
      <c r="R732" s="2509"/>
      <c r="S732" s="2509"/>
      <c r="T732" s="2509"/>
      <c r="U732" s="2509"/>
      <c r="V732" s="2509"/>
      <c r="W732" s="2523">
        <f t="shared" si="90"/>
        <v>169680</v>
      </c>
      <c r="X732" s="2545">
        <v>141400</v>
      </c>
      <c r="Y732" s="2509"/>
      <c r="Z732" s="2509"/>
    </row>
    <row r="733" spans="1:26" s="19" customFormat="1" ht="18.75">
      <c r="A733" s="92">
        <v>3</v>
      </c>
      <c r="B733" s="81"/>
      <c r="C733" s="632" t="s">
        <v>802</v>
      </c>
      <c r="D733" s="17"/>
      <c r="E733" s="48"/>
      <c r="F733" s="2"/>
      <c r="G733" s="2"/>
      <c r="H733" s="2"/>
      <c r="I733" s="540" t="s">
        <v>796</v>
      </c>
      <c r="J733" s="1157">
        <v>169700</v>
      </c>
      <c r="K733" s="1347">
        <f>K598</f>
        <v>0.8200000000000001</v>
      </c>
      <c r="L733" s="1348">
        <f>SUM(J733:K733)</f>
        <v>169700.82</v>
      </c>
      <c r="M733" s="1462">
        <f>J733/10000</f>
        <v>16.97</v>
      </c>
      <c r="N733" s="1465">
        <f>N598</f>
        <v>0.8200000000000001</v>
      </c>
      <c r="O733" s="1440">
        <f>SUM(M733:N733)</f>
        <v>17.79</v>
      </c>
      <c r="P733" s="104"/>
      <c r="R733" s="2509"/>
      <c r="S733" s="2509"/>
      <c r="T733" s="2509"/>
      <c r="U733" s="2509"/>
      <c r="V733" s="2509"/>
      <c r="W733" s="2523">
        <f t="shared" si="90"/>
        <v>169680</v>
      </c>
      <c r="X733" s="2545">
        <v>141400</v>
      </c>
      <c r="Y733" s="2509"/>
      <c r="Z733" s="2509"/>
    </row>
    <row r="734" spans="1:26" s="19" customFormat="1" ht="18.75">
      <c r="A734" s="92">
        <v>4</v>
      </c>
      <c r="B734" s="81"/>
      <c r="C734" s="632" t="s">
        <v>803</v>
      </c>
      <c r="D734" s="17"/>
      <c r="E734" s="48"/>
      <c r="F734" s="2"/>
      <c r="G734" s="2"/>
      <c r="H734" s="2"/>
      <c r="I734" s="540" t="s">
        <v>796</v>
      </c>
      <c r="J734" s="1157">
        <v>84800</v>
      </c>
      <c r="K734" s="1347">
        <f>K599</f>
        <v>0.8200000000000001</v>
      </c>
      <c r="L734" s="1348">
        <f>SUM(J734:K734)</f>
        <v>84800.82</v>
      </c>
      <c r="M734" s="1462">
        <f>J734/10000</f>
        <v>8.48</v>
      </c>
      <c r="N734" s="1465">
        <f>N599</f>
        <v>0.8200000000000001</v>
      </c>
      <c r="O734" s="1440">
        <f>SUM(M734:N734)</f>
        <v>9.3</v>
      </c>
      <c r="P734" s="104"/>
      <c r="R734" s="2509"/>
      <c r="S734" s="2509"/>
      <c r="T734" s="2509"/>
      <c r="U734" s="2509"/>
      <c r="V734" s="2509"/>
      <c r="W734" s="2523">
        <f t="shared" si="90"/>
        <v>84840</v>
      </c>
      <c r="X734" s="2545">
        <v>70700</v>
      </c>
      <c r="Y734" s="2509"/>
      <c r="Z734" s="2509"/>
    </row>
    <row r="735" spans="1:26" s="19" customFormat="1" ht="18.75">
      <c r="A735" s="92"/>
      <c r="B735" s="81"/>
      <c r="C735" s="632" t="s">
        <v>804</v>
      </c>
      <c r="D735" s="17"/>
      <c r="E735" s="48"/>
      <c r="F735" s="2"/>
      <c r="G735" s="2"/>
      <c r="H735" s="2"/>
      <c r="I735" s="1034"/>
      <c r="J735" s="1157"/>
      <c r="K735" s="1347"/>
      <c r="L735" s="1324"/>
      <c r="M735" s="1486"/>
      <c r="N735" s="1465"/>
      <c r="O735" s="1440"/>
      <c r="P735" s="104"/>
      <c r="R735" s="2509"/>
      <c r="S735" s="2509"/>
      <c r="T735" s="2509"/>
      <c r="U735" s="2509"/>
      <c r="V735" s="2509"/>
      <c r="W735" s="2523">
        <f t="shared" si="90"/>
        <v>0</v>
      </c>
      <c r="X735" s="2545"/>
      <c r="Y735" s="2509"/>
      <c r="Z735" s="2509"/>
    </row>
    <row r="736" spans="1:26" s="19" customFormat="1" ht="18.75">
      <c r="A736" s="92">
        <v>5</v>
      </c>
      <c r="B736" s="81"/>
      <c r="C736" s="632" t="s">
        <v>805</v>
      </c>
      <c r="D736" s="17"/>
      <c r="E736" s="48"/>
      <c r="F736" s="2"/>
      <c r="G736" s="2"/>
      <c r="H736" s="2"/>
      <c r="I736" s="540" t="s">
        <v>796</v>
      </c>
      <c r="J736" s="1157">
        <v>127300</v>
      </c>
      <c r="K736" s="1347">
        <f>K601</f>
        <v>1.839</v>
      </c>
      <c r="L736" s="1348">
        <f>SUM(J736:K736)</f>
        <v>127301.839</v>
      </c>
      <c r="M736" s="1462">
        <f>J736/10000</f>
        <v>12.73</v>
      </c>
      <c r="N736" s="1465">
        <f>N601</f>
        <v>1.839</v>
      </c>
      <c r="O736" s="1440">
        <f>SUM(M736:N736)</f>
        <v>14.569</v>
      </c>
      <c r="P736" s="104"/>
      <c r="R736" s="2509"/>
      <c r="S736" s="2509"/>
      <c r="T736" s="2509"/>
      <c r="U736" s="2509"/>
      <c r="V736" s="2509"/>
      <c r="W736" s="2523">
        <f t="shared" si="90"/>
        <v>127320</v>
      </c>
      <c r="X736" s="2545">
        <v>106100</v>
      </c>
      <c r="Y736" s="2509"/>
      <c r="Z736" s="2509"/>
    </row>
    <row r="737" spans="1:26" s="19" customFormat="1" ht="18.75">
      <c r="A737" s="92">
        <v>6</v>
      </c>
      <c r="B737" s="81"/>
      <c r="C737" s="632" t="s">
        <v>806</v>
      </c>
      <c r="D737" s="17"/>
      <c r="E737" s="48"/>
      <c r="F737" s="2"/>
      <c r="G737" s="2"/>
      <c r="H737" s="2"/>
      <c r="I737" s="540" t="s">
        <v>796</v>
      </c>
      <c r="J737" s="1157">
        <v>127300</v>
      </c>
      <c r="K737" s="1347">
        <f>K602</f>
        <v>1.1268</v>
      </c>
      <c r="L737" s="1348">
        <f>SUM(J737:K737)</f>
        <v>127301.1268</v>
      </c>
      <c r="M737" s="1462">
        <f>J737/10000</f>
        <v>12.73</v>
      </c>
      <c r="N737" s="1465">
        <f>N602</f>
        <v>1.1268</v>
      </c>
      <c r="O737" s="1440">
        <f>SUM(M737:N737)</f>
        <v>13.8568</v>
      </c>
      <c r="P737" s="104"/>
      <c r="R737" s="2509"/>
      <c r="S737" s="2509"/>
      <c r="T737" s="2509"/>
      <c r="U737" s="2509"/>
      <c r="V737" s="2509"/>
      <c r="W737" s="2523">
        <f t="shared" si="90"/>
        <v>127320</v>
      </c>
      <c r="X737" s="2545">
        <v>106100</v>
      </c>
      <c r="Y737" s="2509"/>
      <c r="Z737" s="2509"/>
    </row>
    <row r="738" spans="1:26" s="19" customFormat="1" ht="18.75">
      <c r="A738" s="92">
        <v>7</v>
      </c>
      <c r="B738" s="81"/>
      <c r="C738" s="632" t="s">
        <v>807</v>
      </c>
      <c r="D738" s="17"/>
      <c r="E738" s="48"/>
      <c r="F738" s="2"/>
      <c r="G738" s="2"/>
      <c r="H738" s="2"/>
      <c r="I738" s="540" t="s">
        <v>796</v>
      </c>
      <c r="J738" s="1157">
        <v>127300</v>
      </c>
      <c r="K738" s="1347">
        <f>K603</f>
        <v>0.87</v>
      </c>
      <c r="L738" s="1348">
        <f>SUM(J738:K738)</f>
        <v>127300.87</v>
      </c>
      <c r="M738" s="1462">
        <f>J738/10000</f>
        <v>12.73</v>
      </c>
      <c r="N738" s="1465">
        <f>N603</f>
        <v>0.87</v>
      </c>
      <c r="O738" s="1440">
        <f>SUM(M738:N738)</f>
        <v>13.6</v>
      </c>
      <c r="P738" s="104"/>
      <c r="R738" s="2509"/>
      <c r="S738" s="2509"/>
      <c r="T738" s="2509"/>
      <c r="U738" s="2509"/>
      <c r="V738" s="2509"/>
      <c r="W738" s="2523">
        <f t="shared" si="90"/>
        <v>127320</v>
      </c>
      <c r="X738" s="2545">
        <v>106100</v>
      </c>
      <c r="Y738" s="2509"/>
      <c r="Z738" s="2509"/>
    </row>
    <row r="739" spans="1:26" s="19" customFormat="1" ht="18.75">
      <c r="A739" s="144" t="s">
        <v>203</v>
      </c>
      <c r="B739" s="91"/>
      <c r="C739" s="635" t="s">
        <v>201</v>
      </c>
      <c r="D739" s="48"/>
      <c r="E739" s="2"/>
      <c r="F739" s="2"/>
      <c r="G739" s="2"/>
      <c r="H739" s="129"/>
      <c r="I739" s="98"/>
      <c r="J739" s="1157"/>
      <c r="K739" s="1347"/>
      <c r="L739" s="1348"/>
      <c r="M739" s="1486"/>
      <c r="N739" s="1465"/>
      <c r="O739" s="1440"/>
      <c r="P739" s="104"/>
      <c r="R739" s="2509"/>
      <c r="S739" s="2509"/>
      <c r="T739" s="2509"/>
      <c r="U739" s="2509"/>
      <c r="V739" s="2509"/>
      <c r="W739" s="2523">
        <f t="shared" si="90"/>
        <v>0</v>
      </c>
      <c r="X739" s="2545"/>
      <c r="Y739" s="2509"/>
      <c r="Z739" s="2509"/>
    </row>
    <row r="740" spans="1:26" s="19" customFormat="1" ht="18.75">
      <c r="A740" s="92">
        <v>1</v>
      </c>
      <c r="B740" s="75"/>
      <c r="C740" s="126" t="s">
        <v>800</v>
      </c>
      <c r="D740" s="17"/>
      <c r="E740" s="48"/>
      <c r="F740" s="2"/>
      <c r="G740" s="2"/>
      <c r="H740" s="2"/>
      <c r="I740" s="1034" t="s">
        <v>789</v>
      </c>
      <c r="J740" s="1157">
        <v>94600</v>
      </c>
      <c r="K740" s="1347">
        <f>K731</f>
        <v>0.8200000000000001</v>
      </c>
      <c r="L740" s="1348">
        <f>SUM(J740:K740)</f>
        <v>94600.82</v>
      </c>
      <c r="M740" s="1462">
        <f>J740/10000</f>
        <v>9.46</v>
      </c>
      <c r="N740" s="1465">
        <f>N731</f>
        <v>0.8200000000000001</v>
      </c>
      <c r="O740" s="1440">
        <f>SUM(M740:N740)</f>
        <v>10.280000000000001</v>
      </c>
      <c r="P740" s="104"/>
      <c r="R740" s="2509"/>
      <c r="S740" s="2509"/>
      <c r="T740" s="2509"/>
      <c r="U740" s="2509"/>
      <c r="V740" s="2509"/>
      <c r="W740" s="2523">
        <f t="shared" si="90"/>
        <v>94560</v>
      </c>
      <c r="X740" s="2545">
        <v>78800</v>
      </c>
      <c r="Y740" s="2509"/>
      <c r="Z740" s="2509"/>
    </row>
    <row r="741" spans="1:26" s="19" customFormat="1" ht="18.75">
      <c r="A741" s="92">
        <v>2</v>
      </c>
      <c r="B741" s="75"/>
      <c r="C741" s="126" t="s">
        <v>801</v>
      </c>
      <c r="D741" s="17"/>
      <c r="E741" s="48"/>
      <c r="F741" s="2"/>
      <c r="G741" s="2"/>
      <c r="H741" s="2"/>
      <c r="I741" s="1034" t="s">
        <v>789</v>
      </c>
      <c r="J741" s="1157">
        <v>63000</v>
      </c>
      <c r="K741" s="1347">
        <f>K732</f>
        <v>0.8200000000000001</v>
      </c>
      <c r="L741" s="1348">
        <f>SUM(J741:K741)</f>
        <v>63000.82</v>
      </c>
      <c r="M741" s="1462">
        <f>J741/10000</f>
        <v>6.3</v>
      </c>
      <c r="N741" s="1465">
        <f>N732</f>
        <v>0.8200000000000001</v>
      </c>
      <c r="O741" s="1440">
        <f>SUM(M741:N741)</f>
        <v>7.12</v>
      </c>
      <c r="P741" s="104"/>
      <c r="R741" s="2509"/>
      <c r="S741" s="2509"/>
      <c r="T741" s="2509"/>
      <c r="U741" s="2509"/>
      <c r="V741" s="2509"/>
      <c r="W741" s="2523">
        <f t="shared" si="90"/>
        <v>63000</v>
      </c>
      <c r="X741" s="2545">
        <v>52500</v>
      </c>
      <c r="Y741" s="2509"/>
      <c r="Z741" s="2509"/>
    </row>
    <row r="742" spans="1:26" s="19" customFormat="1" ht="18.75">
      <c r="A742" s="92">
        <v>3</v>
      </c>
      <c r="B742" s="81"/>
      <c r="C742" s="632" t="s">
        <v>802</v>
      </c>
      <c r="D742" s="17"/>
      <c r="E742" s="48"/>
      <c r="F742" s="2"/>
      <c r="G742" s="2"/>
      <c r="H742" s="2"/>
      <c r="I742" s="540" t="s">
        <v>796</v>
      </c>
      <c r="J742" s="1157">
        <v>63000</v>
      </c>
      <c r="K742" s="1347">
        <f>K733</f>
        <v>0.8200000000000001</v>
      </c>
      <c r="L742" s="1348">
        <f>SUM(J742:K742)</f>
        <v>63000.82</v>
      </c>
      <c r="M742" s="1462">
        <f>J742/10000</f>
        <v>6.3</v>
      </c>
      <c r="N742" s="1465">
        <f>N733</f>
        <v>0.8200000000000001</v>
      </c>
      <c r="O742" s="1440">
        <f>SUM(M742:N742)</f>
        <v>7.12</v>
      </c>
      <c r="P742" s="104"/>
      <c r="R742" s="2509"/>
      <c r="S742" s="2509"/>
      <c r="T742" s="2509"/>
      <c r="U742" s="2509"/>
      <c r="V742" s="2509"/>
      <c r="W742" s="2523">
        <f t="shared" si="90"/>
        <v>63000</v>
      </c>
      <c r="X742" s="2545">
        <v>52500</v>
      </c>
      <c r="Y742" s="2509"/>
      <c r="Z742" s="2509"/>
    </row>
    <row r="743" spans="1:26" s="19" customFormat="1" ht="18.75">
      <c r="A743" s="92">
        <v>4</v>
      </c>
      <c r="B743" s="81"/>
      <c r="C743" s="632" t="s">
        <v>803</v>
      </c>
      <c r="D743" s="17"/>
      <c r="E743" s="48"/>
      <c r="F743" s="2"/>
      <c r="G743" s="2"/>
      <c r="H743" s="2"/>
      <c r="I743" s="540" t="s">
        <v>796</v>
      </c>
      <c r="J743" s="1157">
        <v>31600</v>
      </c>
      <c r="K743" s="1347">
        <f>K734</f>
        <v>0.8200000000000001</v>
      </c>
      <c r="L743" s="1348">
        <f>SUM(J743:K743)</f>
        <v>31600.82</v>
      </c>
      <c r="M743" s="1462">
        <f>J743/10000</f>
        <v>3.16</v>
      </c>
      <c r="N743" s="1465">
        <f>N734</f>
        <v>0.8200000000000001</v>
      </c>
      <c r="O743" s="1440">
        <f>SUM(M743:N743)</f>
        <v>3.9800000000000004</v>
      </c>
      <c r="P743" s="104"/>
      <c r="R743" s="2509"/>
      <c r="S743" s="2509"/>
      <c r="T743" s="2509"/>
      <c r="U743" s="2509"/>
      <c r="V743" s="2509"/>
      <c r="W743" s="2523">
        <f t="shared" si="90"/>
        <v>31560</v>
      </c>
      <c r="X743" s="2545">
        <v>26300</v>
      </c>
      <c r="Y743" s="2509"/>
      <c r="Z743" s="2509"/>
    </row>
    <row r="744" spans="1:26" s="19" customFormat="1" ht="18.75">
      <c r="A744" s="92"/>
      <c r="B744" s="81"/>
      <c r="C744" s="632" t="s">
        <v>804</v>
      </c>
      <c r="D744" s="17"/>
      <c r="E744" s="48"/>
      <c r="F744" s="2"/>
      <c r="G744" s="2"/>
      <c r="H744" s="2"/>
      <c r="I744" s="1034"/>
      <c r="J744" s="1157"/>
      <c r="K744" s="1347"/>
      <c r="L744" s="1324"/>
      <c r="M744" s="1486"/>
      <c r="N744" s="1465"/>
      <c r="O744" s="1440"/>
      <c r="P744" s="104"/>
      <c r="R744" s="2509"/>
      <c r="S744" s="2509"/>
      <c r="T744" s="2509"/>
      <c r="U744" s="2509"/>
      <c r="V744" s="2509"/>
      <c r="W744" s="2523">
        <f t="shared" si="90"/>
        <v>0</v>
      </c>
      <c r="X744" s="2545"/>
      <c r="Y744" s="2509"/>
      <c r="Z744" s="2509"/>
    </row>
    <row r="745" spans="1:26" s="19" customFormat="1" ht="18.75">
      <c r="A745" s="92">
        <v>5</v>
      </c>
      <c r="B745" s="81"/>
      <c r="C745" s="632" t="s">
        <v>805</v>
      </c>
      <c r="D745" s="17"/>
      <c r="E745" s="48"/>
      <c r="F745" s="2"/>
      <c r="G745" s="2"/>
      <c r="H745" s="2"/>
      <c r="I745" s="540" t="s">
        <v>796</v>
      </c>
      <c r="J745" s="1157">
        <v>47300</v>
      </c>
      <c r="K745" s="1347">
        <f>K736</f>
        <v>1.839</v>
      </c>
      <c r="L745" s="1348">
        <f>SUM(J745:K745)</f>
        <v>47301.839</v>
      </c>
      <c r="M745" s="1462">
        <f>J745/10000</f>
        <v>4.73</v>
      </c>
      <c r="N745" s="1465">
        <f>N736</f>
        <v>1.839</v>
      </c>
      <c r="O745" s="1440">
        <f>SUM(M745:N745)</f>
        <v>6.569000000000001</v>
      </c>
      <c r="P745" s="104"/>
      <c r="R745" s="2509"/>
      <c r="S745" s="2509"/>
      <c r="T745" s="2509"/>
      <c r="U745" s="2509"/>
      <c r="V745" s="2509"/>
      <c r="W745" s="2523">
        <f t="shared" si="90"/>
        <v>47280</v>
      </c>
      <c r="X745" s="2545">
        <v>39400</v>
      </c>
      <c r="Y745" s="2509"/>
      <c r="Z745" s="2509"/>
    </row>
    <row r="746" spans="1:26" s="19" customFormat="1" ht="18.75">
      <c r="A746" s="92">
        <v>6</v>
      </c>
      <c r="B746" s="81"/>
      <c r="C746" s="632" t="s">
        <v>806</v>
      </c>
      <c r="D746" s="17"/>
      <c r="E746" s="48"/>
      <c r="F746" s="2"/>
      <c r="G746" s="2"/>
      <c r="H746" s="2"/>
      <c r="I746" s="540" t="s">
        <v>796</v>
      </c>
      <c r="J746" s="1157">
        <v>47300</v>
      </c>
      <c r="K746" s="1347">
        <f>K737</f>
        <v>1.1268</v>
      </c>
      <c r="L746" s="1348">
        <f>SUM(J746:K746)</f>
        <v>47301.1268</v>
      </c>
      <c r="M746" s="1462">
        <f>J746/10000</f>
        <v>4.73</v>
      </c>
      <c r="N746" s="1465">
        <f>N737</f>
        <v>1.1268</v>
      </c>
      <c r="O746" s="1440">
        <f>SUM(M746:N746)</f>
        <v>5.856800000000001</v>
      </c>
      <c r="P746" s="104"/>
      <c r="R746" s="2509"/>
      <c r="S746" s="2509"/>
      <c r="T746" s="2509"/>
      <c r="U746" s="2509"/>
      <c r="V746" s="2509"/>
      <c r="W746" s="2523">
        <f t="shared" si="90"/>
        <v>47280</v>
      </c>
      <c r="X746" s="2545">
        <v>39400</v>
      </c>
      <c r="Y746" s="2509"/>
      <c r="Z746" s="2509"/>
    </row>
    <row r="747" spans="1:26" s="19" customFormat="1" ht="18.75">
      <c r="A747" s="92">
        <v>7</v>
      </c>
      <c r="B747" s="81"/>
      <c r="C747" s="632" t="s">
        <v>807</v>
      </c>
      <c r="D747" s="17"/>
      <c r="E747" s="48"/>
      <c r="F747" s="2"/>
      <c r="G747" s="2"/>
      <c r="H747" s="2"/>
      <c r="I747" s="540" t="s">
        <v>796</v>
      </c>
      <c r="J747" s="1157">
        <v>47300</v>
      </c>
      <c r="K747" s="1347">
        <f>K738</f>
        <v>0.87</v>
      </c>
      <c r="L747" s="1348">
        <f>SUM(J747:K747)</f>
        <v>47300.87</v>
      </c>
      <c r="M747" s="1462">
        <f>J747/10000</f>
        <v>4.73</v>
      </c>
      <c r="N747" s="1465">
        <f>N738</f>
        <v>0.87</v>
      </c>
      <c r="O747" s="1440">
        <f>SUM(M747:N747)</f>
        <v>5.6000000000000005</v>
      </c>
      <c r="P747" s="104"/>
      <c r="R747" s="2509"/>
      <c r="S747" s="2509"/>
      <c r="T747" s="2509"/>
      <c r="U747" s="2509"/>
      <c r="V747" s="2509"/>
      <c r="W747" s="2523">
        <f t="shared" si="90"/>
        <v>47280</v>
      </c>
      <c r="X747" s="2545">
        <v>39400</v>
      </c>
      <c r="Y747" s="2509"/>
      <c r="Z747" s="2509"/>
    </row>
    <row r="748" spans="1:26" s="19" customFormat="1" ht="18.75">
      <c r="A748" s="92"/>
      <c r="B748" s="54"/>
      <c r="C748" s="35"/>
      <c r="D748" s="48"/>
      <c r="E748" s="2"/>
      <c r="F748" s="2"/>
      <c r="G748" s="2"/>
      <c r="H748" s="129"/>
      <c r="I748" s="98"/>
      <c r="J748" s="1136"/>
      <c r="K748" s="1347"/>
      <c r="L748" s="1324"/>
      <c r="M748" s="1487"/>
      <c r="N748" s="1465"/>
      <c r="O748" s="1440"/>
      <c r="P748" s="104"/>
      <c r="R748" s="2509"/>
      <c r="S748" s="2509"/>
      <c r="T748" s="2509"/>
      <c r="U748" s="2509"/>
      <c r="V748" s="2509"/>
      <c r="W748" s="2523">
        <f t="shared" si="90"/>
        <v>0</v>
      </c>
      <c r="X748" s="2545"/>
      <c r="Y748" s="2509"/>
      <c r="Z748" s="2509"/>
    </row>
    <row r="749" spans="1:26" s="19" customFormat="1" ht="18.75">
      <c r="A749" s="100" t="s">
        <v>808</v>
      </c>
      <c r="B749" s="93" t="s">
        <v>809</v>
      </c>
      <c r="C749" s="1023"/>
      <c r="D749" s="35"/>
      <c r="E749" s="48"/>
      <c r="F749" s="2"/>
      <c r="G749" s="2"/>
      <c r="H749" s="129"/>
      <c r="I749" s="98"/>
      <c r="J749" s="1136"/>
      <c r="K749" s="1347"/>
      <c r="L749" s="1324"/>
      <c r="M749" s="1487"/>
      <c r="N749" s="1465"/>
      <c r="O749" s="1440"/>
      <c r="P749" s="104"/>
      <c r="R749" s="2509"/>
      <c r="S749" s="2509"/>
      <c r="T749" s="2509"/>
      <c r="U749" s="2509"/>
      <c r="V749" s="2509"/>
      <c r="W749" s="2523">
        <f t="shared" si="90"/>
        <v>0</v>
      </c>
      <c r="X749" s="2545"/>
      <c r="Y749" s="2509"/>
      <c r="Z749" s="2509"/>
    </row>
    <row r="750" spans="1:26" s="19" customFormat="1" ht="18.75">
      <c r="A750" s="144" t="s">
        <v>205</v>
      </c>
      <c r="B750" s="91"/>
      <c r="C750" s="635" t="s">
        <v>200</v>
      </c>
      <c r="D750" s="48"/>
      <c r="E750" s="2"/>
      <c r="F750" s="2"/>
      <c r="G750" s="2"/>
      <c r="H750" s="129"/>
      <c r="I750" s="98"/>
      <c r="J750" s="1136"/>
      <c r="K750" s="1347"/>
      <c r="L750" s="1324"/>
      <c r="M750" s="1487"/>
      <c r="N750" s="1465"/>
      <c r="O750" s="1440"/>
      <c r="P750" s="104"/>
      <c r="R750" s="2509"/>
      <c r="S750" s="2509"/>
      <c r="T750" s="2509"/>
      <c r="U750" s="2509"/>
      <c r="V750" s="2509"/>
      <c r="W750" s="2523">
        <f t="shared" si="90"/>
        <v>0</v>
      </c>
      <c r="X750" s="2545"/>
      <c r="Y750" s="2509"/>
      <c r="Z750" s="2509"/>
    </row>
    <row r="751" spans="1:26" s="19" customFormat="1" ht="18.75">
      <c r="A751" s="92">
        <v>1</v>
      </c>
      <c r="B751" s="75"/>
      <c r="C751" s="126" t="s">
        <v>810</v>
      </c>
      <c r="D751" s="17"/>
      <c r="E751" s="17"/>
      <c r="F751" s="2"/>
      <c r="G751" s="2"/>
      <c r="H751" s="2"/>
      <c r="I751" s="1034" t="s">
        <v>789</v>
      </c>
      <c r="J751" s="1157">
        <v>212200</v>
      </c>
      <c r="K751" s="1347">
        <f>'[1]ЛОР'!$G$17</f>
        <v>0.24119159999999998</v>
      </c>
      <c r="L751" s="1348">
        <f aca="true" t="shared" si="99" ref="L751:L765">SUM(J751:K751)</f>
        <v>212200.2411916</v>
      </c>
      <c r="M751" s="1462">
        <f aca="true" t="shared" si="100" ref="M751:M757">J751/10000</f>
        <v>21.22</v>
      </c>
      <c r="N751" s="1465">
        <f>K751</f>
        <v>0.24119159999999998</v>
      </c>
      <c r="O751" s="1440">
        <f aca="true" t="shared" si="101" ref="O751:O757">SUM(M751:N751)</f>
        <v>21.4611916</v>
      </c>
      <c r="P751" s="104"/>
      <c r="R751" s="2509"/>
      <c r="S751" s="2509"/>
      <c r="T751" s="2509"/>
      <c r="U751" s="2509"/>
      <c r="V751" s="2509"/>
      <c r="W751" s="2523">
        <f t="shared" si="90"/>
        <v>212160</v>
      </c>
      <c r="X751" s="2545">
        <v>176800</v>
      </c>
      <c r="Y751" s="2509"/>
      <c r="Z751" s="2509"/>
    </row>
    <row r="752" spans="1:26" s="19" customFormat="1" ht="18.75">
      <c r="A752" s="92">
        <v>2</v>
      </c>
      <c r="B752" s="75"/>
      <c r="C752" s="126" t="s">
        <v>811</v>
      </c>
      <c r="D752" s="17"/>
      <c r="E752" s="17"/>
      <c r="F752" s="2"/>
      <c r="G752" s="2"/>
      <c r="H752" s="2"/>
      <c r="I752" s="1034" t="s">
        <v>789</v>
      </c>
      <c r="J752" s="1157">
        <v>101900</v>
      </c>
      <c r="K752" s="1347">
        <f>'[1]ЛОР'!$G$28</f>
        <v>0.24119159999999998</v>
      </c>
      <c r="L752" s="1348">
        <f t="shared" si="99"/>
        <v>101900.2411916</v>
      </c>
      <c r="M752" s="1462">
        <f t="shared" si="100"/>
        <v>10.19</v>
      </c>
      <c r="N752" s="1465">
        <f>K752</f>
        <v>0.24119159999999998</v>
      </c>
      <c r="O752" s="1440">
        <f t="shared" si="101"/>
        <v>10.4311916</v>
      </c>
      <c r="P752" s="104"/>
      <c r="R752" s="2509"/>
      <c r="S752" s="2509"/>
      <c r="T752" s="2509"/>
      <c r="U752" s="2509"/>
      <c r="V752" s="2509"/>
      <c r="W752" s="2523">
        <f t="shared" si="90"/>
        <v>101880</v>
      </c>
      <c r="X752" s="2545">
        <v>84900</v>
      </c>
      <c r="Y752" s="2509"/>
      <c r="Z752" s="2509"/>
    </row>
    <row r="753" spans="1:26" s="19" customFormat="1" ht="18.75">
      <c r="A753" s="92">
        <v>3</v>
      </c>
      <c r="B753" s="75"/>
      <c r="C753" s="126" t="s">
        <v>812</v>
      </c>
      <c r="D753" s="17"/>
      <c r="E753" s="17"/>
      <c r="F753" s="2"/>
      <c r="G753" s="2"/>
      <c r="H753" s="2"/>
      <c r="I753" s="540" t="s">
        <v>796</v>
      </c>
      <c r="J753" s="1157">
        <v>135800</v>
      </c>
      <c r="K753" s="1347">
        <f>K594</f>
        <v>1.00118</v>
      </c>
      <c r="L753" s="1348">
        <f t="shared" si="99"/>
        <v>135801.00118</v>
      </c>
      <c r="M753" s="1462">
        <f t="shared" si="100"/>
        <v>13.58</v>
      </c>
      <c r="N753" s="1465">
        <f>N594</f>
        <v>1.00118</v>
      </c>
      <c r="O753" s="1440">
        <f t="shared" si="101"/>
        <v>14.58118</v>
      </c>
      <c r="P753" s="104"/>
      <c r="R753" s="2509"/>
      <c r="S753" s="2509"/>
      <c r="T753" s="2509"/>
      <c r="U753" s="2509"/>
      <c r="V753" s="2509"/>
      <c r="W753" s="2523">
        <f t="shared" si="90"/>
        <v>135840</v>
      </c>
      <c r="X753" s="2545">
        <v>113200</v>
      </c>
      <c r="Y753" s="2509"/>
      <c r="Z753" s="2509"/>
    </row>
    <row r="754" spans="1:26" s="19" customFormat="1" ht="18.75">
      <c r="A754" s="92">
        <v>4</v>
      </c>
      <c r="B754" s="75"/>
      <c r="C754" s="126" t="s">
        <v>813</v>
      </c>
      <c r="D754" s="17"/>
      <c r="E754" s="17"/>
      <c r="F754" s="2"/>
      <c r="G754" s="2"/>
      <c r="H754" s="2"/>
      <c r="I754" s="540" t="s">
        <v>796</v>
      </c>
      <c r="J754" s="1157">
        <v>254600</v>
      </c>
      <c r="K754" s="1347">
        <f>'[1]ЛОР'!$G$47</f>
        <v>1.0346</v>
      </c>
      <c r="L754" s="1348">
        <f t="shared" si="99"/>
        <v>254601.0346</v>
      </c>
      <c r="M754" s="1462">
        <f t="shared" si="100"/>
        <v>25.46</v>
      </c>
      <c r="N754" s="1465">
        <f>K754</f>
        <v>1.0346</v>
      </c>
      <c r="O754" s="1440">
        <f t="shared" si="101"/>
        <v>26.494600000000002</v>
      </c>
      <c r="P754" s="104"/>
      <c r="R754" s="2509"/>
      <c r="S754" s="2509"/>
      <c r="T754" s="2509"/>
      <c r="U754" s="2509"/>
      <c r="V754" s="2509"/>
      <c r="W754" s="2523">
        <f t="shared" si="90"/>
        <v>254640</v>
      </c>
      <c r="X754" s="2545">
        <v>212200</v>
      </c>
      <c r="Y754" s="2509"/>
      <c r="Z754" s="2509"/>
    </row>
    <row r="755" spans="1:26" s="19" customFormat="1" ht="18.75">
      <c r="A755" s="92">
        <v>5</v>
      </c>
      <c r="B755" s="75"/>
      <c r="C755" s="126" t="s">
        <v>814</v>
      </c>
      <c r="D755" s="17"/>
      <c r="E755" s="17"/>
      <c r="F755" s="2"/>
      <c r="G755" s="2"/>
      <c r="H755" s="2"/>
      <c r="I755" s="540" t="s">
        <v>796</v>
      </c>
      <c r="J755" s="1157">
        <v>127300</v>
      </c>
      <c r="K755" s="1347">
        <f>K595</f>
        <v>1.4192268000000001</v>
      </c>
      <c r="L755" s="1348">
        <f t="shared" si="99"/>
        <v>127301.4192268</v>
      </c>
      <c r="M755" s="1462">
        <f t="shared" si="100"/>
        <v>12.73</v>
      </c>
      <c r="N755" s="1465">
        <f>N595</f>
        <v>1.4192268000000001</v>
      </c>
      <c r="O755" s="1440">
        <f t="shared" si="101"/>
        <v>14.149226800000001</v>
      </c>
      <c r="P755" s="104"/>
      <c r="R755" s="2509"/>
      <c r="S755" s="2509"/>
      <c r="T755" s="2509"/>
      <c r="U755" s="2509"/>
      <c r="V755" s="2509"/>
      <c r="W755" s="2523">
        <f t="shared" si="90"/>
        <v>127320</v>
      </c>
      <c r="X755" s="2545">
        <v>106100</v>
      </c>
      <c r="Y755" s="2509"/>
      <c r="Z755" s="2509"/>
    </row>
    <row r="756" spans="1:26" s="19" customFormat="1" ht="18.75">
      <c r="A756" s="92">
        <v>6</v>
      </c>
      <c r="B756" s="75"/>
      <c r="C756" s="126" t="s">
        <v>815</v>
      </c>
      <c r="D756" s="17"/>
      <c r="E756" s="17"/>
      <c r="F756" s="2"/>
      <c r="G756" s="2"/>
      <c r="H756" s="2"/>
      <c r="I756" s="540" t="s">
        <v>796</v>
      </c>
      <c r="J756" s="1157">
        <v>297000</v>
      </c>
      <c r="K756" s="1347">
        <f>'[1]ЛОР'!$G$68</f>
        <v>2.6885044</v>
      </c>
      <c r="L756" s="1348">
        <f t="shared" si="99"/>
        <v>297002.6885044</v>
      </c>
      <c r="M756" s="1462">
        <f t="shared" si="100"/>
        <v>29.7</v>
      </c>
      <c r="N756" s="1465">
        <f>K756</f>
        <v>2.6885044</v>
      </c>
      <c r="O756" s="1440">
        <f t="shared" si="101"/>
        <v>32.3885044</v>
      </c>
      <c r="P756" s="104"/>
      <c r="R756" s="2509"/>
      <c r="S756" s="2509"/>
      <c r="T756" s="2509"/>
      <c r="U756" s="2509"/>
      <c r="V756" s="2509"/>
      <c r="W756" s="2523">
        <f t="shared" si="90"/>
        <v>297000</v>
      </c>
      <c r="X756" s="2545">
        <v>247500</v>
      </c>
      <c r="Y756" s="2509"/>
      <c r="Z756" s="2509"/>
    </row>
    <row r="757" spans="1:26" s="19" customFormat="1" ht="18.75">
      <c r="A757" s="92">
        <v>7</v>
      </c>
      <c r="B757" s="75"/>
      <c r="C757" s="126" t="s">
        <v>816</v>
      </c>
      <c r="D757" s="17"/>
      <c r="E757" s="17"/>
      <c r="F757" s="2"/>
      <c r="G757" s="2"/>
      <c r="H757" s="2"/>
      <c r="I757" s="540" t="s">
        <v>796</v>
      </c>
      <c r="J757" s="1157">
        <v>254600</v>
      </c>
      <c r="K757" s="1347">
        <f>'[1]ЛОР'!$G$78</f>
        <v>1.5292360999999999</v>
      </c>
      <c r="L757" s="1348">
        <f t="shared" si="99"/>
        <v>254601.5292361</v>
      </c>
      <c r="M757" s="1462">
        <f t="shared" si="100"/>
        <v>25.46</v>
      </c>
      <c r="N757" s="1465">
        <f>K757</f>
        <v>1.5292360999999999</v>
      </c>
      <c r="O757" s="1440">
        <f t="shared" si="101"/>
        <v>26.9892361</v>
      </c>
      <c r="P757" s="104"/>
      <c r="R757" s="2509"/>
      <c r="S757" s="2509"/>
      <c r="T757" s="2509"/>
      <c r="U757" s="2509"/>
      <c r="V757" s="2509"/>
      <c r="W757" s="2523">
        <f t="shared" si="90"/>
        <v>254640</v>
      </c>
      <c r="X757" s="2545">
        <v>212200</v>
      </c>
      <c r="Y757" s="2509"/>
      <c r="Z757" s="2509"/>
    </row>
    <row r="758" spans="1:26" s="19" customFormat="1" ht="18.75">
      <c r="A758" s="144" t="s">
        <v>204</v>
      </c>
      <c r="B758" s="91"/>
      <c r="C758" s="635" t="s">
        <v>201</v>
      </c>
      <c r="D758" s="17"/>
      <c r="E758" s="2"/>
      <c r="F758" s="2"/>
      <c r="G758" s="2"/>
      <c r="H758" s="129"/>
      <c r="I758" s="98"/>
      <c r="J758" s="1157"/>
      <c r="K758" s="1347"/>
      <c r="L758" s="1348"/>
      <c r="M758" s="1486"/>
      <c r="N758" s="1465"/>
      <c r="O758" s="1440"/>
      <c r="P758" s="104"/>
      <c r="R758" s="2509"/>
      <c r="S758" s="2509"/>
      <c r="T758" s="2509"/>
      <c r="U758" s="2509"/>
      <c r="V758" s="2509"/>
      <c r="W758" s="2523">
        <f t="shared" si="90"/>
        <v>0</v>
      </c>
      <c r="X758" s="2545"/>
      <c r="Y758" s="2509"/>
      <c r="Z758" s="2509"/>
    </row>
    <row r="759" spans="1:26" s="19" customFormat="1" ht="18.75">
      <c r="A759" s="92">
        <v>1</v>
      </c>
      <c r="B759" s="75"/>
      <c r="C759" s="126" t="s">
        <v>810</v>
      </c>
      <c r="D759" s="17"/>
      <c r="E759" s="17"/>
      <c r="F759" s="2"/>
      <c r="G759" s="2"/>
      <c r="H759" s="2"/>
      <c r="I759" s="1034" t="s">
        <v>789</v>
      </c>
      <c r="J759" s="1157">
        <v>78800</v>
      </c>
      <c r="K759" s="1347">
        <f>K751</f>
        <v>0.24119159999999998</v>
      </c>
      <c r="L759" s="1348">
        <f t="shared" si="99"/>
        <v>78800.2411916</v>
      </c>
      <c r="M759" s="1462">
        <f aca="true" t="shared" si="102" ref="M759:M765">J759/10000</f>
        <v>7.88</v>
      </c>
      <c r="N759" s="1465">
        <f>N751</f>
        <v>0.24119159999999998</v>
      </c>
      <c r="O759" s="1440">
        <f aca="true" t="shared" si="103" ref="O759:O765">SUM(M759:N759)</f>
        <v>8.1211916</v>
      </c>
      <c r="P759" s="104"/>
      <c r="R759" s="2509"/>
      <c r="S759" s="2509"/>
      <c r="T759" s="2509"/>
      <c r="U759" s="2509"/>
      <c r="V759" s="2509"/>
      <c r="W759" s="2523">
        <f aca="true" t="shared" si="104" ref="W759:W822">X759*1.2</f>
        <v>78840</v>
      </c>
      <c r="X759" s="2545">
        <v>65700</v>
      </c>
      <c r="Y759" s="2509"/>
      <c r="Z759" s="2509"/>
    </row>
    <row r="760" spans="1:26" s="19" customFormat="1" ht="18.75">
      <c r="A760" s="92">
        <v>2</v>
      </c>
      <c r="B760" s="75"/>
      <c r="C760" s="126" t="s">
        <v>811</v>
      </c>
      <c r="D760" s="17"/>
      <c r="E760" s="17"/>
      <c r="F760" s="2"/>
      <c r="G760" s="2"/>
      <c r="H760" s="2"/>
      <c r="I760" s="1034" t="s">
        <v>789</v>
      </c>
      <c r="J760" s="1157">
        <v>37800</v>
      </c>
      <c r="K760" s="1347">
        <f aca="true" t="shared" si="105" ref="K760:K765">K752</f>
        <v>0.24119159999999998</v>
      </c>
      <c r="L760" s="1348">
        <f t="shared" si="99"/>
        <v>37800.2411916</v>
      </c>
      <c r="M760" s="1462">
        <f t="shared" si="102"/>
        <v>3.78</v>
      </c>
      <c r="N760" s="1465">
        <f aca="true" t="shared" si="106" ref="N760:N765">N752</f>
        <v>0.24119159999999998</v>
      </c>
      <c r="O760" s="1440">
        <f t="shared" si="103"/>
        <v>4.0211916</v>
      </c>
      <c r="P760" s="104"/>
      <c r="R760" s="2509"/>
      <c r="S760" s="2509"/>
      <c r="T760" s="2509"/>
      <c r="U760" s="2509"/>
      <c r="V760" s="2509"/>
      <c r="W760" s="2523">
        <f t="shared" si="104"/>
        <v>37800</v>
      </c>
      <c r="X760" s="2545">
        <v>31500</v>
      </c>
      <c r="Y760" s="2509"/>
      <c r="Z760" s="2509"/>
    </row>
    <row r="761" spans="1:26" s="19" customFormat="1" ht="18.75">
      <c r="A761" s="92">
        <v>3</v>
      </c>
      <c r="B761" s="75"/>
      <c r="C761" s="126" t="s">
        <v>812</v>
      </c>
      <c r="D761" s="17"/>
      <c r="E761" s="17"/>
      <c r="F761" s="2"/>
      <c r="G761" s="2"/>
      <c r="H761" s="2"/>
      <c r="I761" s="540" t="s">
        <v>796</v>
      </c>
      <c r="J761" s="1157">
        <v>50400</v>
      </c>
      <c r="K761" s="1347">
        <f t="shared" si="105"/>
        <v>1.00118</v>
      </c>
      <c r="L761" s="1348">
        <f t="shared" si="99"/>
        <v>50401.00118</v>
      </c>
      <c r="M761" s="1462">
        <f t="shared" si="102"/>
        <v>5.04</v>
      </c>
      <c r="N761" s="1465">
        <f t="shared" si="106"/>
        <v>1.00118</v>
      </c>
      <c r="O761" s="1440">
        <f t="shared" si="103"/>
        <v>6.04118</v>
      </c>
      <c r="P761" s="104"/>
      <c r="R761" s="2509"/>
      <c r="S761" s="2509"/>
      <c r="T761" s="2509"/>
      <c r="U761" s="2509"/>
      <c r="V761" s="2509"/>
      <c r="W761" s="2523">
        <f t="shared" si="104"/>
        <v>50400</v>
      </c>
      <c r="X761" s="2545">
        <v>42000</v>
      </c>
      <c r="Y761" s="2509"/>
      <c r="Z761" s="2509"/>
    </row>
    <row r="762" spans="1:26" s="19" customFormat="1" ht="18.75">
      <c r="A762" s="92">
        <v>4</v>
      </c>
      <c r="B762" s="75"/>
      <c r="C762" s="126" t="s">
        <v>813</v>
      </c>
      <c r="D762" s="17"/>
      <c r="E762" s="17"/>
      <c r="F762" s="2"/>
      <c r="G762" s="2"/>
      <c r="H762" s="2"/>
      <c r="I762" s="540" t="s">
        <v>796</v>
      </c>
      <c r="J762" s="1157">
        <v>94600</v>
      </c>
      <c r="K762" s="1347">
        <f t="shared" si="105"/>
        <v>1.0346</v>
      </c>
      <c r="L762" s="1348">
        <f t="shared" si="99"/>
        <v>94601.0346</v>
      </c>
      <c r="M762" s="1462">
        <f t="shared" si="102"/>
        <v>9.46</v>
      </c>
      <c r="N762" s="1465">
        <f t="shared" si="106"/>
        <v>1.0346</v>
      </c>
      <c r="O762" s="1440">
        <f t="shared" si="103"/>
        <v>10.4946</v>
      </c>
      <c r="P762" s="104"/>
      <c r="R762" s="2509"/>
      <c r="S762" s="2509"/>
      <c r="T762" s="2509"/>
      <c r="U762" s="2509"/>
      <c r="V762" s="2509"/>
      <c r="W762" s="2523">
        <f t="shared" si="104"/>
        <v>94560</v>
      </c>
      <c r="X762" s="2545">
        <v>78800</v>
      </c>
      <c r="Y762" s="2509"/>
      <c r="Z762" s="2509"/>
    </row>
    <row r="763" spans="1:26" s="19" customFormat="1" ht="18.75">
      <c r="A763" s="92">
        <v>5</v>
      </c>
      <c r="B763" s="75"/>
      <c r="C763" s="126" t="s">
        <v>814</v>
      </c>
      <c r="D763" s="17"/>
      <c r="E763" s="17"/>
      <c r="F763" s="2"/>
      <c r="G763" s="2"/>
      <c r="H763" s="2"/>
      <c r="I763" s="540" t="s">
        <v>796</v>
      </c>
      <c r="J763" s="1157">
        <v>47300</v>
      </c>
      <c r="K763" s="1347">
        <f t="shared" si="105"/>
        <v>1.4192268000000001</v>
      </c>
      <c r="L763" s="1348">
        <f t="shared" si="99"/>
        <v>47301.4192268</v>
      </c>
      <c r="M763" s="1462">
        <f t="shared" si="102"/>
        <v>4.73</v>
      </c>
      <c r="N763" s="1465">
        <f t="shared" si="106"/>
        <v>1.4192268000000001</v>
      </c>
      <c r="O763" s="1440">
        <f t="shared" si="103"/>
        <v>6.149226800000001</v>
      </c>
      <c r="P763" s="104"/>
      <c r="R763" s="2509"/>
      <c r="S763" s="2509"/>
      <c r="T763" s="2509"/>
      <c r="U763" s="2509"/>
      <c r="V763" s="2509"/>
      <c r="W763" s="2523">
        <f t="shared" si="104"/>
        <v>47280</v>
      </c>
      <c r="X763" s="2545">
        <v>39400</v>
      </c>
      <c r="Y763" s="2509"/>
      <c r="Z763" s="2509"/>
    </row>
    <row r="764" spans="1:26" s="19" customFormat="1" ht="18.75">
      <c r="A764" s="92">
        <v>6</v>
      </c>
      <c r="B764" s="75"/>
      <c r="C764" s="126" t="s">
        <v>815</v>
      </c>
      <c r="D764" s="17"/>
      <c r="E764" s="17"/>
      <c r="F764" s="2"/>
      <c r="G764" s="2"/>
      <c r="H764" s="2"/>
      <c r="I764" s="540" t="s">
        <v>796</v>
      </c>
      <c r="J764" s="1157">
        <v>110300</v>
      </c>
      <c r="K764" s="1347">
        <f t="shared" si="105"/>
        <v>2.6885044</v>
      </c>
      <c r="L764" s="1348">
        <f t="shared" si="99"/>
        <v>110302.6885044</v>
      </c>
      <c r="M764" s="1462">
        <f t="shared" si="102"/>
        <v>11.03</v>
      </c>
      <c r="N764" s="1465">
        <f t="shared" si="106"/>
        <v>2.6885044</v>
      </c>
      <c r="O764" s="1440">
        <f t="shared" si="103"/>
        <v>13.718504399999999</v>
      </c>
      <c r="P764" s="104"/>
      <c r="R764" s="2509"/>
      <c r="S764" s="2509"/>
      <c r="T764" s="2509"/>
      <c r="U764" s="2509"/>
      <c r="V764" s="2509"/>
      <c r="W764" s="2523">
        <f t="shared" si="104"/>
        <v>110280</v>
      </c>
      <c r="X764" s="2545">
        <v>91900</v>
      </c>
      <c r="Y764" s="2509"/>
      <c r="Z764" s="2509"/>
    </row>
    <row r="765" spans="1:26" s="19" customFormat="1" ht="18.75">
      <c r="A765" s="92">
        <v>7</v>
      </c>
      <c r="B765" s="75"/>
      <c r="C765" s="126" t="s">
        <v>816</v>
      </c>
      <c r="D765" s="17"/>
      <c r="E765" s="17"/>
      <c r="F765" s="2"/>
      <c r="G765" s="2"/>
      <c r="H765" s="2"/>
      <c r="I765" s="540" t="s">
        <v>796</v>
      </c>
      <c r="J765" s="1157">
        <v>94600</v>
      </c>
      <c r="K765" s="1347">
        <f t="shared" si="105"/>
        <v>1.5292360999999999</v>
      </c>
      <c r="L765" s="1348">
        <f t="shared" si="99"/>
        <v>94601.5292361</v>
      </c>
      <c r="M765" s="1462">
        <f t="shared" si="102"/>
        <v>9.46</v>
      </c>
      <c r="N765" s="1465">
        <f t="shared" si="106"/>
        <v>1.5292360999999999</v>
      </c>
      <c r="O765" s="1440">
        <f t="shared" si="103"/>
        <v>10.989236100000001</v>
      </c>
      <c r="P765" s="104"/>
      <c r="R765" s="2509"/>
      <c r="S765" s="2509"/>
      <c r="T765" s="2509"/>
      <c r="U765" s="2509"/>
      <c r="V765" s="2509"/>
      <c r="W765" s="2523">
        <f t="shared" si="104"/>
        <v>94560</v>
      </c>
      <c r="X765" s="2545">
        <v>78800</v>
      </c>
      <c r="Y765" s="2509"/>
      <c r="Z765" s="2509"/>
    </row>
    <row r="766" spans="1:26" s="19" customFormat="1" ht="18.75">
      <c r="A766" s="92"/>
      <c r="B766" s="54"/>
      <c r="C766" s="35"/>
      <c r="D766" s="48"/>
      <c r="E766" s="2"/>
      <c r="F766" s="2"/>
      <c r="G766" s="2"/>
      <c r="H766" s="129"/>
      <c r="I766" s="98"/>
      <c r="J766" s="1136"/>
      <c r="K766" s="1347"/>
      <c r="L766" s="1324"/>
      <c r="M766" s="1487"/>
      <c r="N766" s="1465"/>
      <c r="O766" s="1440"/>
      <c r="P766" s="104"/>
      <c r="R766" s="2509"/>
      <c r="S766" s="2509"/>
      <c r="T766" s="2509"/>
      <c r="U766" s="2509"/>
      <c r="V766" s="2509"/>
      <c r="W766" s="2523">
        <f t="shared" si="104"/>
        <v>0</v>
      </c>
      <c r="X766" s="2545"/>
      <c r="Y766" s="2509"/>
      <c r="Z766" s="2509"/>
    </row>
    <row r="767" spans="1:26" s="19" customFormat="1" ht="18.75">
      <c r="A767" s="100" t="s">
        <v>817</v>
      </c>
      <c r="B767" s="93" t="s">
        <v>818</v>
      </c>
      <c r="C767" s="35"/>
      <c r="D767" s="48"/>
      <c r="E767" s="2"/>
      <c r="F767" s="2"/>
      <c r="G767" s="2"/>
      <c r="H767" s="129"/>
      <c r="I767" s="98"/>
      <c r="J767" s="1136"/>
      <c r="K767" s="1347"/>
      <c r="L767" s="1324"/>
      <c r="M767" s="1487"/>
      <c r="N767" s="1465"/>
      <c r="O767" s="1440"/>
      <c r="P767" s="104"/>
      <c r="R767" s="2509"/>
      <c r="S767" s="2509"/>
      <c r="T767" s="2509"/>
      <c r="U767" s="2509"/>
      <c r="V767" s="2509"/>
      <c r="W767" s="2523">
        <f t="shared" si="104"/>
        <v>0</v>
      </c>
      <c r="X767" s="2545"/>
      <c r="Y767" s="2509"/>
      <c r="Z767" s="2509"/>
    </row>
    <row r="768" spans="1:26" s="19" customFormat="1" ht="18.75">
      <c r="A768" s="144" t="s">
        <v>575</v>
      </c>
      <c r="B768" s="91"/>
      <c r="C768" s="635" t="s">
        <v>200</v>
      </c>
      <c r="D768" s="48"/>
      <c r="E768" s="2"/>
      <c r="F768" s="2"/>
      <c r="G768" s="2"/>
      <c r="H768" s="129"/>
      <c r="I768" s="98"/>
      <c r="J768" s="1136"/>
      <c r="K768" s="1347"/>
      <c r="L768" s="1324"/>
      <c r="M768" s="1487"/>
      <c r="N768" s="1465"/>
      <c r="O768" s="1440"/>
      <c r="P768" s="104"/>
      <c r="R768" s="2509"/>
      <c r="S768" s="2509"/>
      <c r="T768" s="2509"/>
      <c r="U768" s="2509"/>
      <c r="V768" s="2509"/>
      <c r="W768" s="2523">
        <f t="shared" si="104"/>
        <v>0</v>
      </c>
      <c r="X768" s="2545"/>
      <c r="Y768" s="2509"/>
      <c r="Z768" s="2509"/>
    </row>
    <row r="769" spans="1:26" s="19" customFormat="1" ht="18.75">
      <c r="A769" s="92">
        <v>1</v>
      </c>
      <c r="B769" s="75"/>
      <c r="C769" s="126" t="s">
        <v>819</v>
      </c>
      <c r="D769" s="17"/>
      <c r="E769" s="17"/>
      <c r="F769" s="17"/>
      <c r="G769" s="2"/>
      <c r="H769" s="129"/>
      <c r="I769" s="540" t="s">
        <v>789</v>
      </c>
      <c r="J769" s="1157">
        <v>217600</v>
      </c>
      <c r="K769" s="1347">
        <f>'[1]Пр.вр.-спец.'!$G$13</f>
        <v>0.8235</v>
      </c>
      <c r="L769" s="1348">
        <f aca="true" t="shared" si="107" ref="L769:L784">SUM(J769:K769)</f>
        <v>217600.8235</v>
      </c>
      <c r="M769" s="1486">
        <f aca="true" t="shared" si="108" ref="M769:M784">J769/10000</f>
        <v>21.76</v>
      </c>
      <c r="N769" s="1465">
        <f aca="true" t="shared" si="109" ref="N769:N784">K769</f>
        <v>0.8235</v>
      </c>
      <c r="O769" s="1440">
        <f>SUM(M769:N769)</f>
        <v>22.5835</v>
      </c>
      <c r="P769" s="104"/>
      <c r="R769" s="2509"/>
      <c r="S769" s="2509"/>
      <c r="T769" s="2509"/>
      <c r="U769" s="2509"/>
      <c r="V769" s="2509"/>
      <c r="W769" s="2523">
        <f t="shared" si="104"/>
        <v>217560</v>
      </c>
      <c r="X769" s="2545">
        <v>181300</v>
      </c>
      <c r="Y769" s="2509"/>
      <c r="Z769" s="2509"/>
    </row>
    <row r="770" spans="1:26" s="19" customFormat="1" ht="18.75">
      <c r="A770" s="92">
        <v>2</v>
      </c>
      <c r="B770" s="75"/>
      <c r="C770" s="126" t="s">
        <v>820</v>
      </c>
      <c r="D770" s="17"/>
      <c r="E770" s="17"/>
      <c r="F770" s="17"/>
      <c r="G770" s="2"/>
      <c r="H770" s="129"/>
      <c r="I770" s="540" t="s">
        <v>789</v>
      </c>
      <c r="J770" s="1157">
        <v>130600</v>
      </c>
      <c r="K770" s="1347">
        <f>'[1]Пр.вр.-спец.'!$G$13</f>
        <v>0.8235</v>
      </c>
      <c r="L770" s="1348">
        <f t="shared" si="107"/>
        <v>130600.8235</v>
      </c>
      <c r="M770" s="1486">
        <f t="shared" si="108"/>
        <v>13.06</v>
      </c>
      <c r="N770" s="1465">
        <f t="shared" si="109"/>
        <v>0.8235</v>
      </c>
      <c r="O770" s="1440">
        <f aca="true" t="shared" si="110" ref="O770:O784">SUM(M770:N770)</f>
        <v>13.8835</v>
      </c>
      <c r="P770" s="104"/>
      <c r="R770" s="2509"/>
      <c r="S770" s="2509"/>
      <c r="T770" s="2509"/>
      <c r="U770" s="2509"/>
      <c r="V770" s="2509"/>
      <c r="W770" s="2523">
        <f t="shared" si="104"/>
        <v>130560</v>
      </c>
      <c r="X770" s="2545">
        <v>108800</v>
      </c>
      <c r="Y770" s="2509"/>
      <c r="Z770" s="2509"/>
    </row>
    <row r="771" spans="1:26" s="19" customFormat="1" ht="18.75">
      <c r="A771" s="92">
        <v>3</v>
      </c>
      <c r="B771" s="75"/>
      <c r="C771" s="126" t="s">
        <v>821</v>
      </c>
      <c r="D771" s="17"/>
      <c r="E771" s="17"/>
      <c r="F771" s="17"/>
      <c r="G771" s="2"/>
      <c r="H771" s="129"/>
      <c r="I771" s="540" t="s">
        <v>789</v>
      </c>
      <c r="J771" s="1157">
        <v>182300</v>
      </c>
      <c r="K771" s="1347">
        <f>'[1]Пр.вр.-спец.'!$G$20</f>
        <v>0.8235</v>
      </c>
      <c r="L771" s="1348">
        <f t="shared" si="107"/>
        <v>182300.8235</v>
      </c>
      <c r="M771" s="1486">
        <f t="shared" si="108"/>
        <v>18.23</v>
      </c>
      <c r="N771" s="1465">
        <f t="shared" si="109"/>
        <v>0.8235</v>
      </c>
      <c r="O771" s="1440">
        <f t="shared" si="110"/>
        <v>19.0535</v>
      </c>
      <c r="P771" s="104"/>
      <c r="R771" s="2509"/>
      <c r="S771" s="2509"/>
      <c r="T771" s="2509"/>
      <c r="U771" s="2509"/>
      <c r="V771" s="2509"/>
      <c r="W771" s="2523">
        <f t="shared" si="104"/>
        <v>182280</v>
      </c>
      <c r="X771" s="2545">
        <v>151900</v>
      </c>
      <c r="Y771" s="2509"/>
      <c r="Z771" s="2509"/>
    </row>
    <row r="772" spans="1:26" s="19" customFormat="1" ht="18.75">
      <c r="A772" s="92">
        <v>4</v>
      </c>
      <c r="B772" s="75"/>
      <c r="C772" s="126" t="s">
        <v>822</v>
      </c>
      <c r="D772" s="17"/>
      <c r="E772" s="17"/>
      <c r="F772" s="17"/>
      <c r="G772" s="2"/>
      <c r="H772" s="129"/>
      <c r="I772" s="540" t="s">
        <v>789</v>
      </c>
      <c r="J772" s="1157">
        <v>109300</v>
      </c>
      <c r="K772" s="1347">
        <f>'[1]Пр.вр.-спец.'!$G$20</f>
        <v>0.8235</v>
      </c>
      <c r="L772" s="1348">
        <f t="shared" si="107"/>
        <v>109300.8235</v>
      </c>
      <c r="M772" s="1486">
        <f t="shared" si="108"/>
        <v>10.93</v>
      </c>
      <c r="N772" s="1465">
        <f t="shared" si="109"/>
        <v>0.8235</v>
      </c>
      <c r="O772" s="1440">
        <f t="shared" si="110"/>
        <v>11.753499999999999</v>
      </c>
      <c r="P772" s="104"/>
      <c r="R772" s="2509"/>
      <c r="S772" s="2509"/>
      <c r="T772" s="2509"/>
      <c r="U772" s="2509"/>
      <c r="V772" s="2509"/>
      <c r="W772" s="2523">
        <f t="shared" si="104"/>
        <v>109320</v>
      </c>
      <c r="X772" s="2545">
        <v>91100</v>
      </c>
      <c r="Y772" s="2509"/>
      <c r="Z772" s="2509"/>
    </row>
    <row r="773" spans="1:26" s="19" customFormat="1" ht="18.75">
      <c r="A773" s="92">
        <v>5</v>
      </c>
      <c r="B773" s="75"/>
      <c r="C773" s="126" t="s">
        <v>386</v>
      </c>
      <c r="D773" s="17"/>
      <c r="E773" s="17"/>
      <c r="F773" s="17"/>
      <c r="G773" s="2"/>
      <c r="H773" s="129"/>
      <c r="I773" s="540" t="s">
        <v>789</v>
      </c>
      <c r="J773" s="1157">
        <v>187000</v>
      </c>
      <c r="K773" s="1347">
        <f>'[1]Пр.вр.-спец.'!$G$27</f>
        <v>0.8235</v>
      </c>
      <c r="L773" s="1348">
        <f t="shared" si="107"/>
        <v>187000.8235</v>
      </c>
      <c r="M773" s="1486">
        <f t="shared" si="108"/>
        <v>18.7</v>
      </c>
      <c r="N773" s="1465">
        <f t="shared" si="109"/>
        <v>0.8235</v>
      </c>
      <c r="O773" s="1440">
        <f t="shared" si="110"/>
        <v>19.5235</v>
      </c>
      <c r="P773" s="104"/>
      <c r="R773" s="2509"/>
      <c r="S773" s="2509"/>
      <c r="T773" s="2509"/>
      <c r="U773" s="2509"/>
      <c r="V773" s="2509"/>
      <c r="W773" s="2523">
        <f t="shared" si="104"/>
        <v>186960</v>
      </c>
      <c r="X773" s="2545">
        <v>155800</v>
      </c>
      <c r="Y773" s="2509"/>
      <c r="Z773" s="2509"/>
    </row>
    <row r="774" spans="1:26" s="19" customFormat="1" ht="18.75">
      <c r="A774" s="92">
        <v>6</v>
      </c>
      <c r="B774" s="75"/>
      <c r="C774" s="126" t="s">
        <v>387</v>
      </c>
      <c r="D774" s="17"/>
      <c r="E774" s="17"/>
      <c r="F774" s="17"/>
      <c r="G774" s="2"/>
      <c r="H774" s="129"/>
      <c r="I774" s="540" t="s">
        <v>789</v>
      </c>
      <c r="J774" s="1157">
        <v>112200</v>
      </c>
      <c r="K774" s="1347">
        <f>'[1]Пр.вр.-спец.'!$G$27</f>
        <v>0.8235</v>
      </c>
      <c r="L774" s="1348">
        <f t="shared" si="107"/>
        <v>112200.8235</v>
      </c>
      <c r="M774" s="1486">
        <f t="shared" si="108"/>
        <v>11.22</v>
      </c>
      <c r="N774" s="1465">
        <f t="shared" si="109"/>
        <v>0.8235</v>
      </c>
      <c r="O774" s="1440">
        <f t="shared" si="110"/>
        <v>12.0435</v>
      </c>
      <c r="P774" s="104"/>
      <c r="R774" s="2509"/>
      <c r="S774" s="2509"/>
      <c r="T774" s="2509"/>
      <c r="U774" s="2509"/>
      <c r="V774" s="2509"/>
      <c r="W774" s="2523">
        <f t="shared" si="104"/>
        <v>112200</v>
      </c>
      <c r="X774" s="2545">
        <v>93500</v>
      </c>
      <c r="Y774" s="2509"/>
      <c r="Z774" s="2509"/>
    </row>
    <row r="775" spans="1:26" s="19" customFormat="1" ht="18.75">
      <c r="A775" s="92">
        <v>7</v>
      </c>
      <c r="B775" s="75"/>
      <c r="C775" s="126" t="s">
        <v>428</v>
      </c>
      <c r="D775" s="17"/>
      <c r="E775" s="17"/>
      <c r="F775" s="17"/>
      <c r="G775" s="2"/>
      <c r="H775" s="129"/>
      <c r="I775" s="540" t="s">
        <v>789</v>
      </c>
      <c r="J775" s="1157">
        <v>187700</v>
      </c>
      <c r="K775" s="1347">
        <f>'[1]Пр.вр.-спец.'!$G$41</f>
        <v>0.8235</v>
      </c>
      <c r="L775" s="1348">
        <f t="shared" si="107"/>
        <v>187700.8235</v>
      </c>
      <c r="M775" s="1486">
        <f t="shared" si="108"/>
        <v>18.77</v>
      </c>
      <c r="N775" s="1465">
        <f t="shared" si="109"/>
        <v>0.8235</v>
      </c>
      <c r="O775" s="1440">
        <f t="shared" si="110"/>
        <v>19.5935</v>
      </c>
      <c r="P775" s="104"/>
      <c r="R775" s="2509"/>
      <c r="S775" s="2509"/>
      <c r="T775" s="2509"/>
      <c r="U775" s="2509"/>
      <c r="V775" s="2509"/>
      <c r="W775" s="2523">
        <f t="shared" si="104"/>
        <v>187680</v>
      </c>
      <c r="X775" s="2545">
        <v>156400</v>
      </c>
      <c r="Y775" s="2509"/>
      <c r="Z775" s="2509"/>
    </row>
    <row r="776" spans="1:26" s="19" customFormat="1" ht="18.75">
      <c r="A776" s="92">
        <v>8</v>
      </c>
      <c r="B776" s="75"/>
      <c r="C776" s="126" t="s">
        <v>427</v>
      </c>
      <c r="D776" s="17"/>
      <c r="E776" s="17"/>
      <c r="F776" s="17"/>
      <c r="G776" s="2"/>
      <c r="H776" s="129"/>
      <c r="I776" s="540" t="s">
        <v>789</v>
      </c>
      <c r="J776" s="1157">
        <v>112600</v>
      </c>
      <c r="K776" s="1347">
        <f>'[1]Пр.вр.-спец.'!$G$41</f>
        <v>0.8235</v>
      </c>
      <c r="L776" s="1348">
        <f t="shared" si="107"/>
        <v>112600.8235</v>
      </c>
      <c r="M776" s="1486">
        <f t="shared" si="108"/>
        <v>11.26</v>
      </c>
      <c r="N776" s="1465">
        <f t="shared" si="109"/>
        <v>0.8235</v>
      </c>
      <c r="O776" s="1440">
        <f t="shared" si="110"/>
        <v>12.083499999999999</v>
      </c>
      <c r="P776" s="104"/>
      <c r="R776" s="2509"/>
      <c r="S776" s="2509"/>
      <c r="T776" s="2509"/>
      <c r="U776" s="2509"/>
      <c r="V776" s="2509"/>
      <c r="W776" s="2523">
        <f t="shared" si="104"/>
        <v>112560</v>
      </c>
      <c r="X776" s="2545">
        <v>93800</v>
      </c>
      <c r="Y776" s="2509"/>
      <c r="Z776" s="2509"/>
    </row>
    <row r="777" spans="1:26" s="19" customFormat="1" ht="18.75">
      <c r="A777" s="92">
        <v>9</v>
      </c>
      <c r="B777" s="75"/>
      <c r="C777" s="126" t="s">
        <v>429</v>
      </c>
      <c r="D777" s="17"/>
      <c r="E777" s="17"/>
      <c r="F777" s="17"/>
      <c r="G777" s="2"/>
      <c r="H777" s="129"/>
      <c r="I777" s="540" t="s">
        <v>789</v>
      </c>
      <c r="J777" s="1157">
        <v>182300</v>
      </c>
      <c r="K777" s="1347">
        <f>'[1]Пр.вр.-спец.'!$G$41</f>
        <v>0.8235</v>
      </c>
      <c r="L777" s="1348">
        <f aca="true" t="shared" si="111" ref="L777:L782">SUM(J777:K777)</f>
        <v>182300.8235</v>
      </c>
      <c r="M777" s="1486">
        <f t="shared" si="108"/>
        <v>18.23</v>
      </c>
      <c r="N777" s="1465">
        <f t="shared" si="109"/>
        <v>0.8235</v>
      </c>
      <c r="O777" s="1440">
        <f t="shared" si="110"/>
        <v>19.0535</v>
      </c>
      <c r="P777" s="104"/>
      <c r="R777" s="2509"/>
      <c r="S777" s="2509"/>
      <c r="T777" s="2509"/>
      <c r="U777" s="2509"/>
      <c r="V777" s="2509"/>
      <c r="W777" s="2523">
        <f t="shared" si="104"/>
        <v>182280</v>
      </c>
      <c r="X777" s="2545">
        <v>151900</v>
      </c>
      <c r="Y777" s="2509"/>
      <c r="Z777" s="2509"/>
    </row>
    <row r="778" spans="1:26" s="19" customFormat="1" ht="18.75">
      <c r="A778" s="92">
        <v>10</v>
      </c>
      <c r="B778" s="75"/>
      <c r="C778" s="126" t="s">
        <v>430</v>
      </c>
      <c r="D778" s="17"/>
      <c r="E778" s="17"/>
      <c r="F778" s="17"/>
      <c r="G778" s="2"/>
      <c r="H778" s="129"/>
      <c r="I778" s="540" t="s">
        <v>789</v>
      </c>
      <c r="J778" s="1157">
        <v>109300</v>
      </c>
      <c r="K778" s="1347">
        <f>'[1]Пр.вр.-спец.'!$G$41</f>
        <v>0.8235</v>
      </c>
      <c r="L778" s="1348">
        <f t="shared" si="111"/>
        <v>109300.8235</v>
      </c>
      <c r="M778" s="1486">
        <f t="shared" si="108"/>
        <v>10.93</v>
      </c>
      <c r="N778" s="1465">
        <f t="shared" si="109"/>
        <v>0.8235</v>
      </c>
      <c r="O778" s="1440">
        <f t="shared" si="110"/>
        <v>11.753499999999999</v>
      </c>
      <c r="P778" s="104"/>
      <c r="R778" s="2509"/>
      <c r="S778" s="2509"/>
      <c r="T778" s="2509"/>
      <c r="U778" s="2509"/>
      <c r="V778" s="2509"/>
      <c r="W778" s="2523">
        <f t="shared" si="104"/>
        <v>109320</v>
      </c>
      <c r="X778" s="2545">
        <v>91100</v>
      </c>
      <c r="Y778" s="2509"/>
      <c r="Z778" s="2509"/>
    </row>
    <row r="779" spans="1:26" s="19" customFormat="1" ht="18.75">
      <c r="A779" s="92">
        <v>11</v>
      </c>
      <c r="B779" s="75"/>
      <c r="C779" s="126" t="s">
        <v>431</v>
      </c>
      <c r="D779" s="17"/>
      <c r="E779" s="17"/>
      <c r="F779" s="17"/>
      <c r="G779" s="2"/>
      <c r="H779" s="129"/>
      <c r="I779" s="540" t="s">
        <v>789</v>
      </c>
      <c r="J779" s="1157">
        <v>187700</v>
      </c>
      <c r="K779" s="1347">
        <f>'[1]Пр.вр.-спец.'!$G$41</f>
        <v>0.8235</v>
      </c>
      <c r="L779" s="1348">
        <f t="shared" si="111"/>
        <v>187700.8235</v>
      </c>
      <c r="M779" s="1486">
        <f t="shared" si="108"/>
        <v>18.77</v>
      </c>
      <c r="N779" s="1465">
        <f t="shared" si="109"/>
        <v>0.8235</v>
      </c>
      <c r="O779" s="1440">
        <f t="shared" si="110"/>
        <v>19.5935</v>
      </c>
      <c r="P779" s="104"/>
      <c r="R779" s="2509"/>
      <c r="S779" s="2509"/>
      <c r="T779" s="2509"/>
      <c r="U779" s="2509"/>
      <c r="V779" s="2509"/>
      <c r="W779" s="2523">
        <f t="shared" si="104"/>
        <v>187680</v>
      </c>
      <c r="X779" s="2545">
        <v>156400</v>
      </c>
      <c r="Y779" s="2509"/>
      <c r="Z779" s="2509"/>
    </row>
    <row r="780" spans="1:26" s="19" customFormat="1" ht="18.75">
      <c r="A780" s="92">
        <v>12</v>
      </c>
      <c r="B780" s="75"/>
      <c r="C780" s="126" t="s">
        <v>432</v>
      </c>
      <c r="D780" s="17"/>
      <c r="E780" s="17"/>
      <c r="F780" s="17"/>
      <c r="G780" s="2"/>
      <c r="H780" s="129"/>
      <c r="I780" s="540" t="s">
        <v>789</v>
      </c>
      <c r="J780" s="1157">
        <v>112600</v>
      </c>
      <c r="K780" s="1347">
        <f>'[1]Пр.вр.-спец.'!$G$41</f>
        <v>0.8235</v>
      </c>
      <c r="L780" s="1348">
        <f t="shared" si="111"/>
        <v>112600.8235</v>
      </c>
      <c r="M780" s="1486">
        <f t="shared" si="108"/>
        <v>11.26</v>
      </c>
      <c r="N780" s="1465">
        <f t="shared" si="109"/>
        <v>0.8235</v>
      </c>
      <c r="O780" s="1440">
        <f t="shared" si="110"/>
        <v>12.083499999999999</v>
      </c>
      <c r="P780" s="104"/>
      <c r="R780" s="2509"/>
      <c r="S780" s="2509"/>
      <c r="T780" s="2509"/>
      <c r="U780" s="2509"/>
      <c r="V780" s="2509"/>
      <c r="W780" s="2523">
        <f t="shared" si="104"/>
        <v>112560</v>
      </c>
      <c r="X780" s="2545">
        <v>93800</v>
      </c>
      <c r="Y780" s="2509"/>
      <c r="Z780" s="2509"/>
    </row>
    <row r="781" spans="1:26" s="19" customFormat="1" ht="18.75">
      <c r="A781" s="92">
        <v>13</v>
      </c>
      <c r="B781" s="75"/>
      <c r="C781" s="126" t="s">
        <v>434</v>
      </c>
      <c r="D781" s="17"/>
      <c r="E781" s="17"/>
      <c r="F781" s="17"/>
      <c r="G781" s="2"/>
      <c r="H781" s="129"/>
      <c r="I781" s="540" t="s">
        <v>789</v>
      </c>
      <c r="J781" s="1157">
        <v>232300</v>
      </c>
      <c r="K781" s="1347">
        <f>'[1]Пр.вр.-спец.'!$G$41</f>
        <v>0.8235</v>
      </c>
      <c r="L781" s="1348">
        <f t="shared" si="111"/>
        <v>232300.8235</v>
      </c>
      <c r="M781" s="1486">
        <f t="shared" si="108"/>
        <v>23.23</v>
      </c>
      <c r="N781" s="1465">
        <f t="shared" si="109"/>
        <v>0.8235</v>
      </c>
      <c r="O781" s="1440">
        <f t="shared" si="110"/>
        <v>24.0535</v>
      </c>
      <c r="P781" s="104"/>
      <c r="R781" s="2509"/>
      <c r="S781" s="2509"/>
      <c r="T781" s="2509"/>
      <c r="U781" s="2509"/>
      <c r="V781" s="2509"/>
      <c r="W781" s="2523">
        <f t="shared" si="104"/>
        <v>232320</v>
      </c>
      <c r="X781" s="2545">
        <v>193600</v>
      </c>
      <c r="Y781" s="2509"/>
      <c r="Z781" s="2509"/>
    </row>
    <row r="782" spans="1:26" s="19" customFormat="1" ht="18.75">
      <c r="A782" s="92">
        <v>14</v>
      </c>
      <c r="B782" s="75"/>
      <c r="C782" s="126" t="s">
        <v>433</v>
      </c>
      <c r="D782" s="17"/>
      <c r="E782" s="17"/>
      <c r="F782" s="17"/>
      <c r="G782" s="2"/>
      <c r="H782" s="129"/>
      <c r="I782" s="540" t="s">
        <v>789</v>
      </c>
      <c r="J782" s="1157">
        <v>139400</v>
      </c>
      <c r="K782" s="1347">
        <f>'[1]Пр.вр.-спец.'!$G$41</f>
        <v>0.8235</v>
      </c>
      <c r="L782" s="1348">
        <f t="shared" si="111"/>
        <v>139400.8235</v>
      </c>
      <c r="M782" s="1486">
        <f t="shared" si="108"/>
        <v>13.94</v>
      </c>
      <c r="N782" s="1465">
        <f t="shared" si="109"/>
        <v>0.8235</v>
      </c>
      <c r="O782" s="1440">
        <f t="shared" si="110"/>
        <v>14.763499999999999</v>
      </c>
      <c r="P782" s="104"/>
      <c r="R782" s="2509"/>
      <c r="S782" s="2509"/>
      <c r="T782" s="2509"/>
      <c r="U782" s="2509"/>
      <c r="V782" s="2509"/>
      <c r="W782" s="2523">
        <f t="shared" si="104"/>
        <v>139440</v>
      </c>
      <c r="X782" s="2545">
        <v>116200</v>
      </c>
      <c r="Y782" s="2509"/>
      <c r="Z782" s="2509"/>
    </row>
    <row r="783" spans="1:26" s="19" customFormat="1" ht="18.75">
      <c r="A783" s="92">
        <v>15</v>
      </c>
      <c r="B783" s="75"/>
      <c r="C783" s="126" t="s">
        <v>823</v>
      </c>
      <c r="D783" s="17"/>
      <c r="E783" s="17"/>
      <c r="F783" s="17"/>
      <c r="G783" s="2"/>
      <c r="H783" s="129"/>
      <c r="I783" s="540" t="s">
        <v>789</v>
      </c>
      <c r="J783" s="1157">
        <v>187000</v>
      </c>
      <c r="K783" s="1347">
        <f>'[1]Пр.вр.-спец.'!$G$55</f>
        <v>0.8235</v>
      </c>
      <c r="L783" s="1348">
        <f t="shared" si="107"/>
        <v>187000.8235</v>
      </c>
      <c r="M783" s="1486">
        <f t="shared" si="108"/>
        <v>18.7</v>
      </c>
      <c r="N783" s="1465">
        <f t="shared" si="109"/>
        <v>0.8235</v>
      </c>
      <c r="O783" s="1440">
        <f t="shared" si="110"/>
        <v>19.5235</v>
      </c>
      <c r="P783" s="104"/>
      <c r="R783" s="2509"/>
      <c r="S783" s="2509"/>
      <c r="T783" s="2509"/>
      <c r="U783" s="2509"/>
      <c r="V783" s="2509"/>
      <c r="W783" s="2523">
        <f t="shared" si="104"/>
        <v>186960</v>
      </c>
      <c r="X783" s="2545">
        <v>155800</v>
      </c>
      <c r="Y783" s="2509"/>
      <c r="Z783" s="2509"/>
    </row>
    <row r="784" spans="1:26" s="19" customFormat="1" ht="18.75">
      <c r="A784" s="92">
        <v>16</v>
      </c>
      <c r="B784" s="75"/>
      <c r="C784" s="126" t="s">
        <v>824</v>
      </c>
      <c r="D784" s="17"/>
      <c r="E784" s="17"/>
      <c r="F784" s="17"/>
      <c r="G784" s="2"/>
      <c r="H784" s="129"/>
      <c r="I784" s="540" t="s">
        <v>789</v>
      </c>
      <c r="J784" s="1157">
        <v>112200</v>
      </c>
      <c r="K784" s="1347">
        <f>'[1]Пр.вр.-спец.'!$G$55</f>
        <v>0.8235</v>
      </c>
      <c r="L784" s="1348">
        <f t="shared" si="107"/>
        <v>112200.8235</v>
      </c>
      <c r="M784" s="1486">
        <f t="shared" si="108"/>
        <v>11.22</v>
      </c>
      <c r="N784" s="1465">
        <f t="shared" si="109"/>
        <v>0.8235</v>
      </c>
      <c r="O784" s="1440">
        <f t="shared" si="110"/>
        <v>12.0435</v>
      </c>
      <c r="P784" s="104"/>
      <c r="R784" s="2509"/>
      <c r="S784" s="2509"/>
      <c r="T784" s="2509"/>
      <c r="U784" s="2509"/>
      <c r="V784" s="2509"/>
      <c r="W784" s="2523">
        <f t="shared" si="104"/>
        <v>112200</v>
      </c>
      <c r="X784" s="2545">
        <v>93500</v>
      </c>
      <c r="Y784" s="2509"/>
      <c r="Z784" s="2509"/>
    </row>
    <row r="785" spans="1:26" s="19" customFormat="1" ht="18.75">
      <c r="A785" s="144" t="s">
        <v>435</v>
      </c>
      <c r="B785" s="91"/>
      <c r="C785" s="635" t="s">
        <v>201</v>
      </c>
      <c r="D785" s="17"/>
      <c r="E785" s="17"/>
      <c r="F785" s="17"/>
      <c r="G785" s="2"/>
      <c r="H785" s="129"/>
      <c r="I785" s="540"/>
      <c r="J785" s="1136"/>
      <c r="K785" s="1347"/>
      <c r="L785" s="1348"/>
      <c r="M785" s="1487"/>
      <c r="N785" s="1465"/>
      <c r="O785" s="1440"/>
      <c r="P785" s="104"/>
      <c r="R785" s="2509"/>
      <c r="S785" s="2509"/>
      <c r="T785" s="2509"/>
      <c r="U785" s="2509"/>
      <c r="V785" s="2509"/>
      <c r="W785" s="2523">
        <f t="shared" si="104"/>
        <v>0</v>
      </c>
      <c r="X785" s="2545"/>
      <c r="Y785" s="2509"/>
      <c r="Z785" s="2509"/>
    </row>
    <row r="786" spans="1:26" s="19" customFormat="1" ht="18.75">
      <c r="A786" s="92">
        <f>A769</f>
        <v>1</v>
      </c>
      <c r="B786" s="75"/>
      <c r="C786" s="126" t="str">
        <f>C769</f>
        <v>Первичный прием врача-инфекциониста</v>
      </c>
      <c r="D786" s="17"/>
      <c r="E786" s="17"/>
      <c r="F786" s="17"/>
      <c r="G786" s="2"/>
      <c r="H786" s="129"/>
      <c r="I786" s="540" t="s">
        <v>789</v>
      </c>
      <c r="J786" s="1157">
        <v>80800</v>
      </c>
      <c r="K786" s="1347">
        <f>'[1]Пр.вр.-спец.'!$G$55</f>
        <v>0.8235</v>
      </c>
      <c r="L786" s="1348">
        <f aca="true" t="shared" si="112" ref="L786:L801">SUM(J786:K786)</f>
        <v>80800.8235</v>
      </c>
      <c r="M786" s="1486">
        <f aca="true" t="shared" si="113" ref="M786:M801">J786/10000</f>
        <v>8.08</v>
      </c>
      <c r="N786" s="1465">
        <f aca="true" t="shared" si="114" ref="N786:N801">K786</f>
        <v>0.8235</v>
      </c>
      <c r="O786" s="1440">
        <f aca="true" t="shared" si="115" ref="O786:O801">SUM(M786:N786)</f>
        <v>8.9035</v>
      </c>
      <c r="P786" s="104"/>
      <c r="R786" s="2509"/>
      <c r="S786" s="2509"/>
      <c r="T786" s="2509"/>
      <c r="U786" s="2509"/>
      <c r="V786" s="2509"/>
      <c r="W786" s="2523">
        <f t="shared" si="104"/>
        <v>80760</v>
      </c>
      <c r="X786" s="2545">
        <v>67300</v>
      </c>
      <c r="Y786" s="2509"/>
      <c r="Z786" s="2509"/>
    </row>
    <row r="787" spans="1:26" s="19" customFormat="1" ht="18.75">
      <c r="A787" s="92">
        <f aca="true" t="shared" si="116" ref="A787:A801">A770</f>
        <v>2</v>
      </c>
      <c r="B787" s="75"/>
      <c r="C787" s="126" t="str">
        <f aca="true" t="shared" si="117" ref="C787:C801">C770</f>
        <v>Повторный прием врача-инфекциониста</v>
      </c>
      <c r="D787" s="17"/>
      <c r="E787" s="17"/>
      <c r="F787" s="17"/>
      <c r="G787" s="2"/>
      <c r="H787" s="129"/>
      <c r="I787" s="540" t="s">
        <v>789</v>
      </c>
      <c r="J787" s="1157">
        <v>48500</v>
      </c>
      <c r="K787" s="1347">
        <f>'[1]Пр.вр.-спец.'!$G$55</f>
        <v>0.8235</v>
      </c>
      <c r="L787" s="1348">
        <f t="shared" si="112"/>
        <v>48500.8235</v>
      </c>
      <c r="M787" s="1486">
        <f t="shared" si="113"/>
        <v>4.85</v>
      </c>
      <c r="N787" s="1465">
        <f t="shared" si="114"/>
        <v>0.8235</v>
      </c>
      <c r="O787" s="1440">
        <f t="shared" si="115"/>
        <v>5.6735</v>
      </c>
      <c r="P787" s="104"/>
      <c r="R787" s="2509"/>
      <c r="S787" s="2509"/>
      <c r="T787" s="2509"/>
      <c r="U787" s="2509"/>
      <c r="V787" s="2509"/>
      <c r="W787" s="2523">
        <f t="shared" si="104"/>
        <v>48480</v>
      </c>
      <c r="X787" s="2545">
        <v>40400</v>
      </c>
      <c r="Y787" s="2509"/>
      <c r="Z787" s="2509"/>
    </row>
    <row r="788" spans="1:26" s="19" customFormat="1" ht="18.75">
      <c r="A788" s="92">
        <f t="shared" si="116"/>
        <v>3</v>
      </c>
      <c r="B788" s="75"/>
      <c r="C788" s="126" t="str">
        <f t="shared" si="117"/>
        <v>Первичный прием врача-кардиолога</v>
      </c>
      <c r="D788" s="17"/>
      <c r="E788" s="17"/>
      <c r="F788" s="17"/>
      <c r="G788" s="2"/>
      <c r="H788" s="129"/>
      <c r="I788" s="540" t="s">
        <v>789</v>
      </c>
      <c r="J788" s="1157">
        <v>67700</v>
      </c>
      <c r="K788" s="1347">
        <f>'[1]Пр.вр.-спец.'!$G$55</f>
        <v>0.8235</v>
      </c>
      <c r="L788" s="1348">
        <f t="shared" si="112"/>
        <v>67700.8235</v>
      </c>
      <c r="M788" s="1486">
        <f t="shared" si="113"/>
        <v>6.77</v>
      </c>
      <c r="N788" s="1465">
        <f t="shared" si="114"/>
        <v>0.8235</v>
      </c>
      <c r="O788" s="1440">
        <f t="shared" si="115"/>
        <v>7.5935</v>
      </c>
      <c r="P788" s="104"/>
      <c r="R788" s="2509"/>
      <c r="S788" s="2509"/>
      <c r="T788" s="2509"/>
      <c r="U788" s="2509"/>
      <c r="V788" s="2509"/>
      <c r="W788" s="2523">
        <f t="shared" si="104"/>
        <v>67680</v>
      </c>
      <c r="X788" s="2545">
        <v>56400</v>
      </c>
      <c r="Y788" s="2509"/>
      <c r="Z788" s="2509"/>
    </row>
    <row r="789" spans="1:26" s="19" customFormat="1" ht="18.75">
      <c r="A789" s="92">
        <f t="shared" si="116"/>
        <v>4</v>
      </c>
      <c r="B789" s="75"/>
      <c r="C789" s="126" t="str">
        <f t="shared" si="117"/>
        <v>Повторный прием врача-кардиолога</v>
      </c>
      <c r="D789" s="17"/>
      <c r="E789" s="17"/>
      <c r="F789" s="17"/>
      <c r="G789" s="2"/>
      <c r="H789" s="129"/>
      <c r="I789" s="540" t="s">
        <v>789</v>
      </c>
      <c r="J789" s="1157">
        <v>40600</v>
      </c>
      <c r="K789" s="1347">
        <f>'[1]Пр.вр.-спец.'!$G$55</f>
        <v>0.8235</v>
      </c>
      <c r="L789" s="1348">
        <f t="shared" si="112"/>
        <v>40600.8235</v>
      </c>
      <c r="M789" s="1486">
        <f t="shared" si="113"/>
        <v>4.06</v>
      </c>
      <c r="N789" s="1465">
        <f t="shared" si="114"/>
        <v>0.8235</v>
      </c>
      <c r="O789" s="1440">
        <f t="shared" si="115"/>
        <v>4.8835</v>
      </c>
      <c r="P789" s="104"/>
      <c r="R789" s="2509"/>
      <c r="S789" s="2509"/>
      <c r="T789" s="2509"/>
      <c r="U789" s="2509"/>
      <c r="V789" s="2509"/>
      <c r="W789" s="2523">
        <f t="shared" si="104"/>
        <v>40560</v>
      </c>
      <c r="X789" s="2545">
        <v>33800</v>
      </c>
      <c r="Y789" s="2509"/>
      <c r="Z789" s="2509"/>
    </row>
    <row r="790" spans="1:26" s="19" customFormat="1" ht="18.75">
      <c r="A790" s="92">
        <f t="shared" si="116"/>
        <v>5</v>
      </c>
      <c r="B790" s="75"/>
      <c r="C790" s="126" t="str">
        <f t="shared" si="117"/>
        <v>Первичный прием врача-невролога </v>
      </c>
      <c r="D790" s="17"/>
      <c r="E790" s="17"/>
      <c r="F790" s="17"/>
      <c r="G790" s="2"/>
      <c r="H790" s="129"/>
      <c r="I790" s="540" t="s">
        <v>789</v>
      </c>
      <c r="J790" s="1157">
        <v>69500</v>
      </c>
      <c r="K790" s="1347">
        <f>'[1]Пр.вр.-спец.'!$G$55</f>
        <v>0.8235</v>
      </c>
      <c r="L790" s="1348">
        <f t="shared" si="112"/>
        <v>69500.8235</v>
      </c>
      <c r="M790" s="1486">
        <f t="shared" si="113"/>
        <v>6.95</v>
      </c>
      <c r="N790" s="1465">
        <f t="shared" si="114"/>
        <v>0.8235</v>
      </c>
      <c r="O790" s="1440">
        <f t="shared" si="115"/>
        <v>7.7735</v>
      </c>
      <c r="P790" s="104"/>
      <c r="R790" s="2509"/>
      <c r="S790" s="2509"/>
      <c r="T790" s="2509"/>
      <c r="U790" s="2509"/>
      <c r="V790" s="2509"/>
      <c r="W790" s="2523">
        <f t="shared" si="104"/>
        <v>69480</v>
      </c>
      <c r="X790" s="2545">
        <v>57900</v>
      </c>
      <c r="Y790" s="2509"/>
      <c r="Z790" s="2509"/>
    </row>
    <row r="791" spans="1:26" s="19" customFormat="1" ht="18.75">
      <c r="A791" s="92">
        <f t="shared" si="116"/>
        <v>6</v>
      </c>
      <c r="B791" s="75"/>
      <c r="C791" s="126" t="str">
        <f t="shared" si="117"/>
        <v>Повторный прием врача-невролога</v>
      </c>
      <c r="D791" s="17"/>
      <c r="E791" s="17"/>
      <c r="F791" s="17"/>
      <c r="G791" s="2"/>
      <c r="H791" s="129"/>
      <c r="I791" s="540" t="s">
        <v>789</v>
      </c>
      <c r="J791" s="1157">
        <v>41600</v>
      </c>
      <c r="K791" s="1347">
        <f>'[1]Пр.вр.-спец.'!$G$55</f>
        <v>0.8235</v>
      </c>
      <c r="L791" s="1348">
        <f t="shared" si="112"/>
        <v>41600.8235</v>
      </c>
      <c r="M791" s="1486">
        <f t="shared" si="113"/>
        <v>4.16</v>
      </c>
      <c r="N791" s="1465">
        <f t="shared" si="114"/>
        <v>0.8235</v>
      </c>
      <c r="O791" s="1440">
        <f t="shared" si="115"/>
        <v>4.9835</v>
      </c>
      <c r="P791" s="104"/>
      <c r="R791" s="2509"/>
      <c r="S791" s="2509"/>
      <c r="T791" s="2509"/>
      <c r="U791" s="2509"/>
      <c r="V791" s="2509"/>
      <c r="W791" s="2523">
        <f t="shared" si="104"/>
        <v>41640</v>
      </c>
      <c r="X791" s="2545">
        <v>34700</v>
      </c>
      <c r="Y791" s="2509"/>
      <c r="Z791" s="2509"/>
    </row>
    <row r="792" spans="1:26" s="19" customFormat="1" ht="18.75">
      <c r="A792" s="92">
        <f t="shared" si="116"/>
        <v>7</v>
      </c>
      <c r="B792" s="75"/>
      <c r="C792" s="126" t="str">
        <f t="shared" si="117"/>
        <v>Первичный прием врача общей практики</v>
      </c>
      <c r="D792" s="17"/>
      <c r="E792" s="17"/>
      <c r="F792" s="17"/>
      <c r="G792" s="2"/>
      <c r="H792" s="129"/>
      <c r="I792" s="540" t="s">
        <v>789</v>
      </c>
      <c r="J792" s="1157">
        <v>69700</v>
      </c>
      <c r="K792" s="1347">
        <f>'[1]Пр.вр.-спец.'!$G$55</f>
        <v>0.8235</v>
      </c>
      <c r="L792" s="1348">
        <f t="shared" si="112"/>
        <v>69700.8235</v>
      </c>
      <c r="M792" s="1486">
        <f t="shared" si="113"/>
        <v>6.97</v>
      </c>
      <c r="N792" s="1465">
        <f t="shared" si="114"/>
        <v>0.8235</v>
      </c>
      <c r="O792" s="1440">
        <f t="shared" si="115"/>
        <v>7.7935</v>
      </c>
      <c r="P792" s="104"/>
      <c r="R792" s="2509"/>
      <c r="S792" s="2509"/>
      <c r="T792" s="2509"/>
      <c r="U792" s="2509"/>
      <c r="V792" s="2509"/>
      <c r="W792" s="2523">
        <f t="shared" si="104"/>
        <v>69720</v>
      </c>
      <c r="X792" s="2545">
        <v>58100</v>
      </c>
      <c r="Y792" s="2509"/>
      <c r="Z792" s="2509"/>
    </row>
    <row r="793" spans="1:26" s="19" customFormat="1" ht="18.75">
      <c r="A793" s="92">
        <f t="shared" si="116"/>
        <v>8</v>
      </c>
      <c r="B793" s="75"/>
      <c r="C793" s="126" t="str">
        <f t="shared" si="117"/>
        <v>Повторный прием врача общей практики</v>
      </c>
      <c r="D793" s="17"/>
      <c r="E793" s="17"/>
      <c r="F793" s="17"/>
      <c r="G793" s="2"/>
      <c r="H793" s="129"/>
      <c r="I793" s="540" t="s">
        <v>789</v>
      </c>
      <c r="J793" s="1157">
        <v>41900</v>
      </c>
      <c r="K793" s="1347">
        <f>'[1]Пр.вр.-спец.'!$G$55</f>
        <v>0.8235</v>
      </c>
      <c r="L793" s="1348">
        <f t="shared" si="112"/>
        <v>41900.8235</v>
      </c>
      <c r="M793" s="1486">
        <f t="shared" si="113"/>
        <v>4.19</v>
      </c>
      <c r="N793" s="1465">
        <f t="shared" si="114"/>
        <v>0.8235</v>
      </c>
      <c r="O793" s="1440">
        <f t="shared" si="115"/>
        <v>5.0135000000000005</v>
      </c>
      <c r="P793" s="104"/>
      <c r="R793" s="2509"/>
      <c r="S793" s="2509"/>
      <c r="T793" s="2509"/>
      <c r="U793" s="2509"/>
      <c r="V793" s="2509"/>
      <c r="W793" s="2523">
        <f t="shared" si="104"/>
        <v>41880</v>
      </c>
      <c r="X793" s="2545">
        <v>34900</v>
      </c>
      <c r="Y793" s="2509"/>
      <c r="Z793" s="2509"/>
    </row>
    <row r="794" spans="1:26" s="19" customFormat="1" ht="18.75">
      <c r="A794" s="92">
        <f t="shared" si="116"/>
        <v>9</v>
      </c>
      <c r="B794" s="75"/>
      <c r="C794" s="126" t="str">
        <f t="shared" si="117"/>
        <v>Первичный прием врача-ревматолога</v>
      </c>
      <c r="D794" s="17"/>
      <c r="E794" s="17"/>
      <c r="F794" s="17"/>
      <c r="G794" s="2"/>
      <c r="H794" s="129"/>
      <c r="I794" s="540" t="s">
        <v>789</v>
      </c>
      <c r="J794" s="1157">
        <v>67700</v>
      </c>
      <c r="K794" s="1347">
        <f>'[1]Пр.вр.-спец.'!$G$55</f>
        <v>0.8235</v>
      </c>
      <c r="L794" s="1348">
        <f t="shared" si="112"/>
        <v>67700.8235</v>
      </c>
      <c r="M794" s="1486">
        <f t="shared" si="113"/>
        <v>6.77</v>
      </c>
      <c r="N794" s="1465">
        <f t="shared" si="114"/>
        <v>0.8235</v>
      </c>
      <c r="O794" s="1440">
        <f t="shared" si="115"/>
        <v>7.5935</v>
      </c>
      <c r="P794" s="104"/>
      <c r="R794" s="2509"/>
      <c r="S794" s="2509"/>
      <c r="T794" s="2509"/>
      <c r="U794" s="2509"/>
      <c r="V794" s="2509"/>
      <c r="W794" s="2523">
        <f t="shared" si="104"/>
        <v>67680</v>
      </c>
      <c r="X794" s="2545">
        <v>56400</v>
      </c>
      <c r="Y794" s="2509"/>
      <c r="Z794" s="2509"/>
    </row>
    <row r="795" spans="1:26" s="19" customFormat="1" ht="18.75">
      <c r="A795" s="92">
        <f t="shared" si="116"/>
        <v>10</v>
      </c>
      <c r="B795" s="75"/>
      <c r="C795" s="126" t="str">
        <f t="shared" si="117"/>
        <v>Повторный прием врача-ревматолога</v>
      </c>
      <c r="D795" s="17"/>
      <c r="E795" s="17"/>
      <c r="F795" s="17"/>
      <c r="G795" s="2"/>
      <c r="H795" s="129"/>
      <c r="I795" s="540" t="s">
        <v>789</v>
      </c>
      <c r="J795" s="1157">
        <v>40600</v>
      </c>
      <c r="K795" s="1347">
        <f>'[1]Пр.вр.-спец.'!$G$55</f>
        <v>0.8235</v>
      </c>
      <c r="L795" s="1348">
        <f t="shared" si="112"/>
        <v>40600.8235</v>
      </c>
      <c r="M795" s="1486">
        <f t="shared" si="113"/>
        <v>4.06</v>
      </c>
      <c r="N795" s="1465">
        <f t="shared" si="114"/>
        <v>0.8235</v>
      </c>
      <c r="O795" s="1440">
        <f t="shared" si="115"/>
        <v>4.8835</v>
      </c>
      <c r="P795" s="104"/>
      <c r="R795" s="2509"/>
      <c r="S795" s="2509"/>
      <c r="T795" s="2509"/>
      <c r="U795" s="2509"/>
      <c r="V795" s="2509"/>
      <c r="W795" s="2523">
        <f t="shared" si="104"/>
        <v>40560</v>
      </c>
      <c r="X795" s="2545">
        <v>33800</v>
      </c>
      <c r="Y795" s="2509"/>
      <c r="Z795" s="2509"/>
    </row>
    <row r="796" spans="1:26" s="19" customFormat="1" ht="18.75">
      <c r="A796" s="92">
        <f t="shared" si="116"/>
        <v>11</v>
      </c>
      <c r="B796" s="75"/>
      <c r="C796" s="126" t="str">
        <f t="shared" si="117"/>
        <v>Первичный прием врача-терапевта</v>
      </c>
      <c r="D796" s="17"/>
      <c r="E796" s="17"/>
      <c r="F796" s="17"/>
      <c r="G796" s="2"/>
      <c r="H796" s="129"/>
      <c r="I796" s="540" t="s">
        <v>789</v>
      </c>
      <c r="J796" s="1157">
        <v>69700</v>
      </c>
      <c r="K796" s="1347">
        <f>'[1]Пр.вр.-спец.'!$G$55</f>
        <v>0.8235</v>
      </c>
      <c r="L796" s="1348">
        <f t="shared" si="112"/>
        <v>69700.8235</v>
      </c>
      <c r="M796" s="1486">
        <f t="shared" si="113"/>
        <v>6.97</v>
      </c>
      <c r="N796" s="1465">
        <f t="shared" si="114"/>
        <v>0.8235</v>
      </c>
      <c r="O796" s="1440">
        <f t="shared" si="115"/>
        <v>7.7935</v>
      </c>
      <c r="P796" s="104"/>
      <c r="R796" s="2509"/>
      <c r="S796" s="2509"/>
      <c r="T796" s="2509"/>
      <c r="U796" s="2509"/>
      <c r="V796" s="2509"/>
      <c r="W796" s="2523">
        <f t="shared" si="104"/>
        <v>69720</v>
      </c>
      <c r="X796" s="2545">
        <v>58100</v>
      </c>
      <c r="Y796" s="2509"/>
      <c r="Z796" s="2509"/>
    </row>
    <row r="797" spans="1:26" s="19" customFormat="1" ht="18.75">
      <c r="A797" s="92">
        <f t="shared" si="116"/>
        <v>12</v>
      </c>
      <c r="B797" s="75"/>
      <c r="C797" s="126" t="str">
        <f t="shared" si="117"/>
        <v>Повторный прием врача-терапевта</v>
      </c>
      <c r="D797" s="17"/>
      <c r="E797" s="17"/>
      <c r="F797" s="17"/>
      <c r="G797" s="2"/>
      <c r="H797" s="129"/>
      <c r="I797" s="540" t="s">
        <v>789</v>
      </c>
      <c r="J797" s="1157">
        <v>41900</v>
      </c>
      <c r="K797" s="1347">
        <f>'[1]Пр.вр.-спец.'!$G$55</f>
        <v>0.8235</v>
      </c>
      <c r="L797" s="1348">
        <f t="shared" si="112"/>
        <v>41900.8235</v>
      </c>
      <c r="M797" s="1486">
        <f t="shared" si="113"/>
        <v>4.19</v>
      </c>
      <c r="N797" s="1465">
        <f t="shared" si="114"/>
        <v>0.8235</v>
      </c>
      <c r="O797" s="1440">
        <f t="shared" si="115"/>
        <v>5.0135000000000005</v>
      </c>
      <c r="P797" s="104"/>
      <c r="R797" s="2509"/>
      <c r="S797" s="2509"/>
      <c r="T797" s="2509"/>
      <c r="U797" s="2509"/>
      <c r="V797" s="2509"/>
      <c r="W797" s="2523">
        <f t="shared" si="104"/>
        <v>41880</v>
      </c>
      <c r="X797" s="2545">
        <v>34900</v>
      </c>
      <c r="Y797" s="2509"/>
      <c r="Z797" s="2509"/>
    </row>
    <row r="798" spans="1:26" s="19" customFormat="1" ht="18.75">
      <c r="A798" s="92">
        <f t="shared" si="116"/>
        <v>13</v>
      </c>
      <c r="B798" s="75"/>
      <c r="C798" s="126" t="str">
        <f t="shared" si="117"/>
        <v>Первичный прием врача-фтизиатра</v>
      </c>
      <c r="D798" s="17"/>
      <c r="E798" s="17"/>
      <c r="F798" s="17"/>
      <c r="G798" s="2"/>
      <c r="H798" s="129"/>
      <c r="I798" s="540" t="s">
        <v>789</v>
      </c>
      <c r="J798" s="1157">
        <v>86300</v>
      </c>
      <c r="K798" s="1347">
        <f>'[1]Пр.вр.-спец.'!$G$55</f>
        <v>0.8235</v>
      </c>
      <c r="L798" s="1348">
        <f t="shared" si="112"/>
        <v>86300.8235</v>
      </c>
      <c r="M798" s="1486">
        <f t="shared" si="113"/>
        <v>8.63</v>
      </c>
      <c r="N798" s="1465">
        <f t="shared" si="114"/>
        <v>0.8235</v>
      </c>
      <c r="O798" s="1440">
        <f t="shared" si="115"/>
        <v>9.4535</v>
      </c>
      <c r="P798" s="104"/>
      <c r="R798" s="2509"/>
      <c r="S798" s="2509"/>
      <c r="T798" s="2509"/>
      <c r="U798" s="2509"/>
      <c r="V798" s="2509"/>
      <c r="W798" s="2523">
        <f t="shared" si="104"/>
        <v>86280</v>
      </c>
      <c r="X798" s="2545">
        <v>71900</v>
      </c>
      <c r="Y798" s="2509"/>
      <c r="Z798" s="2509"/>
    </row>
    <row r="799" spans="1:26" s="19" customFormat="1" ht="18.75">
      <c r="A799" s="92">
        <f t="shared" si="116"/>
        <v>14</v>
      </c>
      <c r="B799" s="75"/>
      <c r="C799" s="126" t="str">
        <f t="shared" si="117"/>
        <v>Повторный прием врача-фтизиатра</v>
      </c>
      <c r="D799" s="17"/>
      <c r="E799" s="17"/>
      <c r="F799" s="17"/>
      <c r="G799" s="2"/>
      <c r="H799" s="129"/>
      <c r="I799" s="540" t="s">
        <v>789</v>
      </c>
      <c r="J799" s="1157">
        <v>51700</v>
      </c>
      <c r="K799" s="1347">
        <f>'[1]Пр.вр.-спец.'!$G$55</f>
        <v>0.8235</v>
      </c>
      <c r="L799" s="1348">
        <f t="shared" si="112"/>
        <v>51700.8235</v>
      </c>
      <c r="M799" s="1486">
        <f t="shared" si="113"/>
        <v>5.17</v>
      </c>
      <c r="N799" s="1465">
        <f t="shared" si="114"/>
        <v>0.8235</v>
      </c>
      <c r="O799" s="1440">
        <f t="shared" si="115"/>
        <v>5.9935</v>
      </c>
      <c r="P799" s="104"/>
      <c r="R799" s="2509"/>
      <c r="S799" s="2509"/>
      <c r="T799" s="2509"/>
      <c r="U799" s="2509"/>
      <c r="V799" s="2509"/>
      <c r="W799" s="2523">
        <f t="shared" si="104"/>
        <v>51720</v>
      </c>
      <c r="X799" s="2545">
        <v>43100</v>
      </c>
      <c r="Y799" s="2509"/>
      <c r="Z799" s="2509"/>
    </row>
    <row r="800" spans="1:26" s="19" customFormat="1" ht="18.75">
      <c r="A800" s="92">
        <f t="shared" si="116"/>
        <v>15</v>
      </c>
      <c r="B800" s="75"/>
      <c r="C800" s="126" t="str">
        <f t="shared" si="117"/>
        <v>Первичный прием врача-эндокринолога</v>
      </c>
      <c r="D800" s="17"/>
      <c r="E800" s="17"/>
      <c r="F800" s="17"/>
      <c r="G800" s="2"/>
      <c r="H800" s="129"/>
      <c r="I800" s="540" t="s">
        <v>789</v>
      </c>
      <c r="J800" s="1157">
        <v>69500</v>
      </c>
      <c r="K800" s="1347">
        <f>'[1]Пр.вр.-спец.'!$G$55</f>
        <v>0.8235</v>
      </c>
      <c r="L800" s="1348">
        <f t="shared" si="112"/>
        <v>69500.8235</v>
      </c>
      <c r="M800" s="1486">
        <f t="shared" si="113"/>
        <v>6.95</v>
      </c>
      <c r="N800" s="1465">
        <f t="shared" si="114"/>
        <v>0.8235</v>
      </c>
      <c r="O800" s="1440">
        <f t="shared" si="115"/>
        <v>7.7735</v>
      </c>
      <c r="P800" s="104"/>
      <c r="R800" s="2509"/>
      <c r="S800" s="2509"/>
      <c r="T800" s="2509"/>
      <c r="U800" s="2509"/>
      <c r="V800" s="2509"/>
      <c r="W800" s="2523">
        <f t="shared" si="104"/>
        <v>69480</v>
      </c>
      <c r="X800" s="2545">
        <v>57900</v>
      </c>
      <c r="Y800" s="2509"/>
      <c r="Z800" s="2509"/>
    </row>
    <row r="801" spans="1:26" s="19" customFormat="1" ht="18.75">
      <c r="A801" s="92">
        <f t="shared" si="116"/>
        <v>16</v>
      </c>
      <c r="B801" s="75"/>
      <c r="C801" s="126" t="str">
        <f t="shared" si="117"/>
        <v>Повторный прием врача-эндокринолога</v>
      </c>
      <c r="D801" s="17"/>
      <c r="E801" s="17"/>
      <c r="F801" s="17"/>
      <c r="G801" s="2"/>
      <c r="H801" s="129"/>
      <c r="I801" s="540" t="s">
        <v>789</v>
      </c>
      <c r="J801" s="1157">
        <v>41600</v>
      </c>
      <c r="K801" s="1347">
        <f>'[1]Пр.вр.-спец.'!$G$55</f>
        <v>0.8235</v>
      </c>
      <c r="L801" s="1348">
        <f t="shared" si="112"/>
        <v>41600.8235</v>
      </c>
      <c r="M801" s="1486">
        <f t="shared" si="113"/>
        <v>4.16</v>
      </c>
      <c r="N801" s="1465">
        <f t="shared" si="114"/>
        <v>0.8235</v>
      </c>
      <c r="O801" s="1440">
        <f t="shared" si="115"/>
        <v>4.9835</v>
      </c>
      <c r="P801" s="104"/>
      <c r="R801" s="2509"/>
      <c r="S801" s="2509"/>
      <c r="T801" s="2509"/>
      <c r="U801" s="2509"/>
      <c r="V801" s="2509"/>
      <c r="W801" s="2523">
        <f t="shared" si="104"/>
        <v>41640</v>
      </c>
      <c r="X801" s="2545">
        <v>34700</v>
      </c>
      <c r="Y801" s="2509"/>
      <c r="Z801" s="2509"/>
    </row>
    <row r="802" spans="1:26" s="19" customFormat="1" ht="18.75">
      <c r="A802" s="92"/>
      <c r="B802" s="75"/>
      <c r="C802" s="630"/>
      <c r="D802" s="17"/>
      <c r="E802" s="17"/>
      <c r="F802" s="17"/>
      <c r="G802" s="2"/>
      <c r="H802" s="129"/>
      <c r="I802" s="540"/>
      <c r="J802" s="1157"/>
      <c r="K802" s="1347"/>
      <c r="L802" s="1348"/>
      <c r="M802" s="1486"/>
      <c r="N802" s="1465"/>
      <c r="O802" s="1440"/>
      <c r="P802" s="104"/>
      <c r="R802" s="2509"/>
      <c r="S802" s="2509"/>
      <c r="T802" s="2509"/>
      <c r="U802" s="2509"/>
      <c r="V802" s="2509"/>
      <c r="W802" s="2523">
        <f t="shared" si="104"/>
        <v>0</v>
      </c>
      <c r="X802" s="2545"/>
      <c r="Y802" s="2509"/>
      <c r="Z802" s="2509"/>
    </row>
    <row r="803" spans="1:26" s="28" customFormat="1" ht="18">
      <c r="A803" s="15">
        <v>8</v>
      </c>
      <c r="B803" s="16" t="s">
        <v>467</v>
      </c>
      <c r="C803" s="17"/>
      <c r="D803" s="17"/>
      <c r="E803" s="17"/>
      <c r="F803" s="17"/>
      <c r="G803" s="17"/>
      <c r="H803" s="36"/>
      <c r="I803" s="94"/>
      <c r="J803" s="1141"/>
      <c r="K803" s="1354"/>
      <c r="L803" s="1327"/>
      <c r="M803" s="1462"/>
      <c r="N803" s="1474"/>
      <c r="O803" s="1441"/>
      <c r="P803" s="22"/>
      <c r="Q803" s="27"/>
      <c r="R803" s="2509"/>
      <c r="S803" s="2509"/>
      <c r="T803" s="2509"/>
      <c r="U803" s="2509"/>
      <c r="V803" s="2509"/>
      <c r="W803" s="2523">
        <f t="shared" si="104"/>
        <v>0</v>
      </c>
      <c r="X803" s="2543"/>
      <c r="Y803" s="2509"/>
      <c r="Z803" s="2509"/>
    </row>
    <row r="804" spans="1:24" ht="18.75">
      <c r="A804" s="29"/>
      <c r="B804" s="30"/>
      <c r="C804" s="1533" t="s">
        <v>468</v>
      </c>
      <c r="D804" s="126"/>
      <c r="E804" s="126"/>
      <c r="F804" s="126"/>
      <c r="G804" s="126"/>
      <c r="H804" s="126"/>
      <c r="I804" s="94"/>
      <c r="J804" s="1141"/>
      <c r="K804" s="1354"/>
      <c r="L804" s="1324"/>
      <c r="M804" s="1462"/>
      <c r="N804" s="1474"/>
      <c r="O804" s="1440"/>
      <c r="P804" s="31"/>
      <c r="Q804"/>
      <c r="W804" s="2523">
        <f t="shared" si="104"/>
        <v>0</v>
      </c>
      <c r="X804" s="2543"/>
    </row>
    <row r="805" spans="1:24" ht="18.75">
      <c r="A805" s="32">
        <v>1</v>
      </c>
      <c r="B805" s="33"/>
      <c r="C805" s="1532" t="s">
        <v>469</v>
      </c>
      <c r="D805" s="126"/>
      <c r="E805" s="126"/>
      <c r="F805" s="126"/>
      <c r="G805" s="126"/>
      <c r="H805" s="126"/>
      <c r="I805" s="94" t="s">
        <v>460</v>
      </c>
      <c r="J805" s="1141">
        <v>33600</v>
      </c>
      <c r="K805" s="1355">
        <v>0</v>
      </c>
      <c r="L805" s="1324">
        <f>SUM(J805:K805)</f>
        <v>33600</v>
      </c>
      <c r="M805" s="1486">
        <f>J805/10000</f>
        <v>3.36</v>
      </c>
      <c r="N805" s="1465">
        <f>K805</f>
        <v>0</v>
      </c>
      <c r="O805" s="1440">
        <f>SUM(M805:N805)</f>
        <v>3.36</v>
      </c>
      <c r="P805" s="31"/>
      <c r="Q805"/>
      <c r="W805" s="2523">
        <f t="shared" si="104"/>
        <v>33600</v>
      </c>
      <c r="X805" s="2543">
        <v>28000</v>
      </c>
    </row>
    <row r="806" spans="1:24" ht="18.75">
      <c r="A806" s="32">
        <v>2</v>
      </c>
      <c r="B806" s="33"/>
      <c r="C806" s="1532" t="s">
        <v>470</v>
      </c>
      <c r="D806" s="126"/>
      <c r="E806" s="126"/>
      <c r="F806" s="126"/>
      <c r="G806" s="126"/>
      <c r="H806" s="126"/>
      <c r="I806" s="94" t="s">
        <v>460</v>
      </c>
      <c r="J806" s="1141">
        <f>J805</f>
        <v>33600</v>
      </c>
      <c r="K806" s="1355">
        <v>0</v>
      </c>
      <c r="L806" s="1324">
        <f>SUM(J806:K806)</f>
        <v>33600</v>
      </c>
      <c r="M806" s="1462">
        <f>M805</f>
        <v>3.36</v>
      </c>
      <c r="N806" s="1495">
        <v>0</v>
      </c>
      <c r="O806" s="1440">
        <f>SUM(M806:N806)</f>
        <v>3.36</v>
      </c>
      <c r="P806" s="31"/>
      <c r="Q806"/>
      <c r="W806" s="2523">
        <f t="shared" si="104"/>
        <v>33600</v>
      </c>
      <c r="X806" s="2543">
        <f>X805</f>
        <v>28000</v>
      </c>
    </row>
    <row r="807" spans="1:24" ht="18.75">
      <c r="A807" s="32">
        <v>3</v>
      </c>
      <c r="B807" s="33"/>
      <c r="C807" s="1532" t="s">
        <v>471</v>
      </c>
      <c r="D807" s="126"/>
      <c r="E807" s="126"/>
      <c r="F807" s="126"/>
      <c r="G807" s="126"/>
      <c r="H807" s="126"/>
      <c r="I807" s="94" t="s">
        <v>460</v>
      </c>
      <c r="J807" s="1141">
        <f>J806</f>
        <v>33600</v>
      </c>
      <c r="K807" s="1355">
        <v>0</v>
      </c>
      <c r="L807" s="1324">
        <f>SUM(J807:K807)</f>
        <v>33600</v>
      </c>
      <c r="M807" s="1462">
        <f>M806</f>
        <v>3.36</v>
      </c>
      <c r="N807" s="1495">
        <v>0</v>
      </c>
      <c r="O807" s="1440">
        <f>SUM(M807:N807)</f>
        <v>3.36</v>
      </c>
      <c r="P807" s="31"/>
      <c r="Q807"/>
      <c r="W807" s="2523">
        <f t="shared" si="104"/>
        <v>33600</v>
      </c>
      <c r="X807" s="2543">
        <f>X806</f>
        <v>28000</v>
      </c>
    </row>
    <row r="808" spans="1:24" ht="18.75">
      <c r="A808" s="32">
        <v>4</v>
      </c>
      <c r="B808" s="33"/>
      <c r="C808" s="1532" t="s">
        <v>472</v>
      </c>
      <c r="D808" s="126"/>
      <c r="E808" s="126"/>
      <c r="F808" s="126"/>
      <c r="G808" s="126"/>
      <c r="H808" s="126"/>
      <c r="I808" s="94"/>
      <c r="J808" s="1141"/>
      <c r="K808" s="1355"/>
      <c r="L808" s="1324"/>
      <c r="M808" s="1462"/>
      <c r="N808" s="1495"/>
      <c r="O808" s="1440"/>
      <c r="P808" s="31"/>
      <c r="Q808"/>
      <c r="W808" s="2523">
        <f t="shared" si="104"/>
        <v>0</v>
      </c>
      <c r="X808" s="2543"/>
    </row>
    <row r="809" spans="1:24" ht="18.75">
      <c r="A809" s="32"/>
      <c r="B809" s="33"/>
      <c r="C809" s="1532" t="s">
        <v>473</v>
      </c>
      <c r="D809" s="126"/>
      <c r="E809" s="126"/>
      <c r="F809" s="126"/>
      <c r="G809" s="126"/>
      <c r="H809" s="126"/>
      <c r="I809" s="94" t="s">
        <v>460</v>
      </c>
      <c r="J809" s="1141">
        <v>50400</v>
      </c>
      <c r="K809" s="1355">
        <v>0</v>
      </c>
      <c r="L809" s="1324">
        <f>SUM(J809:K809)</f>
        <v>50400</v>
      </c>
      <c r="M809" s="1486">
        <f>J809/10000</f>
        <v>5.04</v>
      </c>
      <c r="N809" s="1465">
        <f>K809</f>
        <v>0</v>
      </c>
      <c r="O809" s="1440">
        <f>SUM(M809:N809)</f>
        <v>5.04</v>
      </c>
      <c r="P809" s="31"/>
      <c r="Q809"/>
      <c r="W809" s="2523">
        <f t="shared" si="104"/>
        <v>50400</v>
      </c>
      <c r="X809" s="2543">
        <v>42000</v>
      </c>
    </row>
    <row r="810" spans="1:24" ht="18.75">
      <c r="A810" s="32">
        <v>5</v>
      </c>
      <c r="B810" s="33"/>
      <c r="C810" s="1532" t="s">
        <v>474</v>
      </c>
      <c r="D810" s="126"/>
      <c r="E810" s="126"/>
      <c r="F810" s="126"/>
      <c r="G810" s="126"/>
      <c r="H810" s="126"/>
      <c r="I810" s="94" t="s">
        <v>460</v>
      </c>
      <c r="J810" s="1141">
        <f>J809</f>
        <v>50400</v>
      </c>
      <c r="K810" s="1355">
        <v>0</v>
      </c>
      <c r="L810" s="1324">
        <f>SUM(J810:K810)</f>
        <v>50400</v>
      </c>
      <c r="M810" s="1462">
        <f>M809</f>
        <v>5.04</v>
      </c>
      <c r="N810" s="1495">
        <v>0</v>
      </c>
      <c r="O810" s="1440">
        <f>SUM(M810:N810)</f>
        <v>5.04</v>
      </c>
      <c r="P810" s="31"/>
      <c r="Q810"/>
      <c r="W810" s="2523">
        <f t="shared" si="104"/>
        <v>50400</v>
      </c>
      <c r="X810" s="2543">
        <f>X809</f>
        <v>42000</v>
      </c>
    </row>
    <row r="811" spans="1:24" ht="18.75">
      <c r="A811" s="32">
        <v>6</v>
      </c>
      <c r="B811" s="33"/>
      <c r="C811" s="1532" t="s">
        <v>475</v>
      </c>
      <c r="D811" s="126"/>
      <c r="E811" s="126"/>
      <c r="F811" s="126"/>
      <c r="G811" s="126"/>
      <c r="H811" s="126"/>
      <c r="I811" s="94" t="s">
        <v>460</v>
      </c>
      <c r="J811" s="1141">
        <v>67200</v>
      </c>
      <c r="K811" s="1355">
        <v>0</v>
      </c>
      <c r="L811" s="1324">
        <f>SUM(J811:K811)</f>
        <v>67200</v>
      </c>
      <c r="M811" s="1486">
        <f>J811/10000</f>
        <v>6.72</v>
      </c>
      <c r="N811" s="1465">
        <f>K811</f>
        <v>0</v>
      </c>
      <c r="O811" s="1440">
        <f>SUM(M811:N811)</f>
        <v>6.72</v>
      </c>
      <c r="P811" s="31"/>
      <c r="Q811"/>
      <c r="W811" s="2523">
        <f t="shared" si="104"/>
        <v>67200</v>
      </c>
      <c r="X811" s="2543">
        <v>56000</v>
      </c>
    </row>
    <row r="812" spans="1:24" ht="18.75">
      <c r="A812" s="32">
        <v>7</v>
      </c>
      <c r="B812" s="33"/>
      <c r="C812" s="1532" t="s">
        <v>504</v>
      </c>
      <c r="D812" s="126"/>
      <c r="E812" s="126"/>
      <c r="F812" s="126"/>
      <c r="G812" s="126"/>
      <c r="H812" s="126"/>
      <c r="I812" s="94"/>
      <c r="J812" s="1141"/>
      <c r="K812" s="1355"/>
      <c r="L812" s="1324"/>
      <c r="M812" s="1462"/>
      <c r="N812" s="1495"/>
      <c r="O812" s="1440"/>
      <c r="P812" s="31"/>
      <c r="Q812"/>
      <c r="W812" s="2523">
        <f t="shared" si="104"/>
        <v>0</v>
      </c>
      <c r="X812" s="2543"/>
    </row>
    <row r="813" spans="1:24" ht="18.75">
      <c r="A813" s="32"/>
      <c r="B813" s="33"/>
      <c r="C813" s="1532" t="s">
        <v>490</v>
      </c>
      <c r="D813" s="126"/>
      <c r="E813" s="126"/>
      <c r="F813" s="126"/>
      <c r="G813" s="126"/>
      <c r="H813" s="126"/>
      <c r="I813" s="94" t="s">
        <v>460</v>
      </c>
      <c r="J813" s="1141">
        <f>J805</f>
        <v>33600</v>
      </c>
      <c r="K813" s="1355">
        <v>0</v>
      </c>
      <c r="L813" s="1324">
        <f>SUM(J813:K813)</f>
        <v>33600</v>
      </c>
      <c r="M813" s="1462">
        <f>M805</f>
        <v>3.36</v>
      </c>
      <c r="N813" s="1495">
        <v>0</v>
      </c>
      <c r="O813" s="1440">
        <f>SUM(M813:N813)</f>
        <v>3.36</v>
      </c>
      <c r="P813" s="31"/>
      <c r="Q813"/>
      <c r="W813" s="2523">
        <f t="shared" si="104"/>
        <v>33600</v>
      </c>
      <c r="X813" s="2543">
        <f>X805</f>
        <v>28000</v>
      </c>
    </row>
    <row r="814" spans="1:24" ht="18.75">
      <c r="A814" s="32">
        <v>8</v>
      </c>
      <c r="B814" s="33"/>
      <c r="C814" s="1532" t="s">
        <v>493</v>
      </c>
      <c r="D814" s="126"/>
      <c r="E814" s="126"/>
      <c r="F814" s="126"/>
      <c r="G814" s="126"/>
      <c r="H814" s="126"/>
      <c r="I814" s="94"/>
      <c r="J814" s="1141"/>
      <c r="K814" s="1355"/>
      <c r="L814" s="1324"/>
      <c r="M814" s="1462"/>
      <c r="N814" s="1495"/>
      <c r="O814" s="1440"/>
      <c r="P814" s="31"/>
      <c r="Q814"/>
      <c r="W814" s="2523">
        <f t="shared" si="104"/>
        <v>0</v>
      </c>
      <c r="X814" s="2543"/>
    </row>
    <row r="815" spans="1:24" ht="18.75">
      <c r="A815" s="32"/>
      <c r="B815" s="33"/>
      <c r="C815" s="1532" t="s">
        <v>505</v>
      </c>
      <c r="D815" s="126"/>
      <c r="E815" s="126"/>
      <c r="F815" s="126"/>
      <c r="G815" s="126"/>
      <c r="H815" s="126"/>
      <c r="I815" s="94" t="s">
        <v>460</v>
      </c>
      <c r="J815" s="1141">
        <f>J805</f>
        <v>33600</v>
      </c>
      <c r="K815" s="1355">
        <v>0</v>
      </c>
      <c r="L815" s="1324">
        <f>SUM(J815:K815)</f>
        <v>33600</v>
      </c>
      <c r="M815" s="1462">
        <f>M805</f>
        <v>3.36</v>
      </c>
      <c r="N815" s="1495">
        <v>0</v>
      </c>
      <c r="O815" s="1440">
        <f>SUM(M815:N815)</f>
        <v>3.36</v>
      </c>
      <c r="P815" s="31"/>
      <c r="Q815"/>
      <c r="W815" s="2523">
        <f t="shared" si="104"/>
        <v>33600</v>
      </c>
      <c r="X815" s="2543">
        <f>X805</f>
        <v>28000</v>
      </c>
    </row>
    <row r="816" spans="1:24" ht="18.75">
      <c r="A816" s="32">
        <v>9</v>
      </c>
      <c r="B816" s="33"/>
      <c r="C816" s="1532" t="s">
        <v>506</v>
      </c>
      <c r="D816" s="126"/>
      <c r="E816" s="126"/>
      <c r="F816" s="126"/>
      <c r="G816" s="126"/>
      <c r="H816" s="126"/>
      <c r="I816" s="94"/>
      <c r="J816" s="1141"/>
      <c r="K816" s="1355"/>
      <c r="L816" s="1324"/>
      <c r="M816" s="1462"/>
      <c r="N816" s="1495"/>
      <c r="O816" s="1440"/>
      <c r="P816" s="31"/>
      <c r="Q816"/>
      <c r="W816" s="2523">
        <f t="shared" si="104"/>
        <v>0</v>
      </c>
      <c r="X816" s="2543"/>
    </row>
    <row r="817" spans="1:24" ht="18.75">
      <c r="A817" s="32"/>
      <c r="B817" s="33"/>
      <c r="C817" s="1532" t="s">
        <v>494</v>
      </c>
      <c r="D817" s="126"/>
      <c r="E817" s="126"/>
      <c r="F817" s="126"/>
      <c r="G817" s="126"/>
      <c r="H817" s="126"/>
      <c r="I817" s="94" t="s">
        <v>460</v>
      </c>
      <c r="J817" s="1141">
        <f>J805</f>
        <v>33600</v>
      </c>
      <c r="K817" s="1355">
        <v>0</v>
      </c>
      <c r="L817" s="1324">
        <f>SUM(J817:K817)</f>
        <v>33600</v>
      </c>
      <c r="M817" s="1462">
        <f>M805</f>
        <v>3.36</v>
      </c>
      <c r="N817" s="1495">
        <v>0</v>
      </c>
      <c r="O817" s="1440">
        <f>SUM(M817:N817)</f>
        <v>3.36</v>
      </c>
      <c r="P817" s="31"/>
      <c r="Q817"/>
      <c r="W817" s="2523">
        <f t="shared" si="104"/>
        <v>33600</v>
      </c>
      <c r="X817" s="2543">
        <f>X805</f>
        <v>28000</v>
      </c>
    </row>
    <row r="818" spans="1:24" ht="18.75">
      <c r="A818" s="32">
        <v>10</v>
      </c>
      <c r="B818" s="33"/>
      <c r="C818" s="1532" t="s">
        <v>476</v>
      </c>
      <c r="D818" s="126"/>
      <c r="E818" s="126"/>
      <c r="F818" s="126"/>
      <c r="G818" s="126"/>
      <c r="H818" s="126"/>
      <c r="I818" s="94" t="s">
        <v>460</v>
      </c>
      <c r="J818" s="1141">
        <f>J817</f>
        <v>33600</v>
      </c>
      <c r="K818" s="1355">
        <v>0</v>
      </c>
      <c r="L818" s="1324">
        <f>SUM(J818:K818)</f>
        <v>33600</v>
      </c>
      <c r="M818" s="1462">
        <f>M817</f>
        <v>3.36</v>
      </c>
      <c r="N818" s="1495">
        <v>0</v>
      </c>
      <c r="O818" s="1440">
        <f>SUM(M818:N818)</f>
        <v>3.36</v>
      </c>
      <c r="P818" s="31"/>
      <c r="Q818"/>
      <c r="W818" s="2523">
        <f t="shared" si="104"/>
        <v>33600</v>
      </c>
      <c r="X818" s="2543">
        <f>X817</f>
        <v>28000</v>
      </c>
    </row>
    <row r="819" spans="1:24" ht="18.75">
      <c r="A819" s="32">
        <v>11</v>
      </c>
      <c r="B819" s="548"/>
      <c r="C819" s="2216" t="s">
        <v>477</v>
      </c>
      <c r="D819" s="2216"/>
      <c r="E819" s="2216"/>
      <c r="F819" s="2216"/>
      <c r="G819" s="2216"/>
      <c r="H819" s="2216"/>
      <c r="I819" s="94"/>
      <c r="J819" s="1141"/>
      <c r="K819" s="1355"/>
      <c r="L819" s="1324"/>
      <c r="M819" s="1462"/>
      <c r="N819" s="1495"/>
      <c r="O819" s="1440"/>
      <c r="P819" s="31"/>
      <c r="Q819"/>
      <c r="W819" s="2523">
        <f t="shared" si="104"/>
        <v>0</v>
      </c>
      <c r="X819" s="2543"/>
    </row>
    <row r="820" spans="1:24" ht="18.75">
      <c r="A820" s="32"/>
      <c r="B820" s="548"/>
      <c r="C820" s="2216"/>
      <c r="D820" s="2216"/>
      <c r="E820" s="2216"/>
      <c r="F820" s="2216"/>
      <c r="G820" s="2216"/>
      <c r="H820" s="2216"/>
      <c r="I820" s="94"/>
      <c r="J820" s="1141"/>
      <c r="K820" s="1355"/>
      <c r="L820" s="1324"/>
      <c r="M820" s="1462"/>
      <c r="N820" s="1495"/>
      <c r="O820" s="1440"/>
      <c r="P820" s="31"/>
      <c r="Q820"/>
      <c r="W820" s="2523">
        <f t="shared" si="104"/>
        <v>0</v>
      </c>
      <c r="X820" s="2543"/>
    </row>
    <row r="821" spans="1:24" ht="18.75">
      <c r="A821" s="32"/>
      <c r="B821" s="548"/>
      <c r="C821" s="2216"/>
      <c r="D821" s="2216"/>
      <c r="E821" s="2216"/>
      <c r="F821" s="2216"/>
      <c r="G821" s="2216"/>
      <c r="H821" s="2216"/>
      <c r="I821" s="94" t="s">
        <v>460</v>
      </c>
      <c r="J821" s="1141">
        <v>84000</v>
      </c>
      <c r="K821" s="1355">
        <v>0</v>
      </c>
      <c r="L821" s="1324">
        <f>SUM(J821:K821)</f>
        <v>84000</v>
      </c>
      <c r="M821" s="1486">
        <f>J821/10000</f>
        <v>8.4</v>
      </c>
      <c r="N821" s="1465">
        <f>K821</f>
        <v>0</v>
      </c>
      <c r="O821" s="1440">
        <f>SUM(M821:N821)</f>
        <v>8.4</v>
      </c>
      <c r="P821" s="31"/>
      <c r="Q821"/>
      <c r="W821" s="2523">
        <f t="shared" si="104"/>
        <v>84000</v>
      </c>
      <c r="X821" s="2543">
        <v>70000</v>
      </c>
    </row>
    <row r="822" spans="1:24" ht="18.75">
      <c r="A822" s="32">
        <v>12</v>
      </c>
      <c r="B822" s="548"/>
      <c r="C822" s="2216" t="s">
        <v>478</v>
      </c>
      <c r="D822" s="2216"/>
      <c r="E822" s="2216"/>
      <c r="F822" s="2216"/>
      <c r="G822" s="2216"/>
      <c r="H822" s="2216"/>
      <c r="I822" s="94"/>
      <c r="J822" s="1141"/>
      <c r="K822" s="1355"/>
      <c r="L822" s="1324"/>
      <c r="M822" s="1462"/>
      <c r="N822" s="1495"/>
      <c r="O822" s="1440"/>
      <c r="P822" s="31"/>
      <c r="Q822"/>
      <c r="W822" s="2523">
        <f t="shared" si="104"/>
        <v>0</v>
      </c>
      <c r="X822" s="2543"/>
    </row>
    <row r="823" spans="1:24" ht="18.75">
      <c r="A823" s="32"/>
      <c r="B823" s="548"/>
      <c r="C823" s="2216"/>
      <c r="D823" s="2216"/>
      <c r="E823" s="2216"/>
      <c r="F823" s="2216"/>
      <c r="G823" s="2216"/>
      <c r="H823" s="2216"/>
      <c r="I823" s="94" t="s">
        <v>460</v>
      </c>
      <c r="J823" s="1141">
        <f>J810</f>
        <v>50400</v>
      </c>
      <c r="K823" s="1355">
        <v>0</v>
      </c>
      <c r="L823" s="1324">
        <f>SUM(J823:K823)</f>
        <v>50400</v>
      </c>
      <c r="M823" s="1462">
        <f>M810</f>
        <v>5.04</v>
      </c>
      <c r="N823" s="1495">
        <v>0</v>
      </c>
      <c r="O823" s="1440">
        <f>SUM(M823:N823)</f>
        <v>5.04</v>
      </c>
      <c r="P823" s="31"/>
      <c r="Q823"/>
      <c r="W823" s="2523">
        <f aca="true" t="shared" si="118" ref="W823:W886">X823*1.2</f>
        <v>50400</v>
      </c>
      <c r="X823" s="2543">
        <f>X810</f>
        <v>42000</v>
      </c>
    </row>
    <row r="824" spans="1:24" ht="18.75">
      <c r="A824" s="32"/>
      <c r="B824" s="548"/>
      <c r="C824" s="2216"/>
      <c r="D824" s="2216"/>
      <c r="E824" s="2216"/>
      <c r="F824" s="2216"/>
      <c r="G824" s="2216"/>
      <c r="H824" s="2216"/>
      <c r="I824" s="94"/>
      <c r="J824" s="1141"/>
      <c r="K824" s="1355"/>
      <c r="L824" s="1324"/>
      <c r="M824" s="1462"/>
      <c r="N824" s="1495"/>
      <c r="O824" s="1440"/>
      <c r="P824" s="31"/>
      <c r="Q824"/>
      <c r="W824" s="2523">
        <f t="shared" si="118"/>
        <v>0</v>
      </c>
      <c r="X824" s="2543"/>
    </row>
    <row r="825" spans="1:24" ht="18.75">
      <c r="A825" s="32">
        <v>13</v>
      </c>
      <c r="B825" s="33"/>
      <c r="C825" s="1532" t="s">
        <v>479</v>
      </c>
      <c r="D825" s="126"/>
      <c r="E825" s="126"/>
      <c r="F825" s="126"/>
      <c r="G825" s="126"/>
      <c r="H825" s="126"/>
      <c r="I825" s="94" t="s">
        <v>460</v>
      </c>
      <c r="J825" s="1141">
        <f>J805</f>
        <v>33600</v>
      </c>
      <c r="K825" s="1355">
        <v>0</v>
      </c>
      <c r="L825" s="1324">
        <f>SUM(J825:K825)</f>
        <v>33600</v>
      </c>
      <c r="M825" s="1462">
        <f>M805</f>
        <v>3.36</v>
      </c>
      <c r="N825" s="1495">
        <v>0</v>
      </c>
      <c r="O825" s="1440">
        <f>SUM(M825:N825)</f>
        <v>3.36</v>
      </c>
      <c r="P825" s="31"/>
      <c r="Q825"/>
      <c r="W825" s="2523">
        <f t="shared" si="118"/>
        <v>33600</v>
      </c>
      <c r="X825" s="2543">
        <f>X805</f>
        <v>28000</v>
      </c>
    </row>
    <row r="826" spans="1:24" ht="18.75">
      <c r="A826" s="32">
        <v>14</v>
      </c>
      <c r="B826" s="548"/>
      <c r="C826" s="2216" t="s">
        <v>480</v>
      </c>
      <c r="D826" s="2216"/>
      <c r="E826" s="2216"/>
      <c r="F826" s="2216"/>
      <c r="G826" s="2216"/>
      <c r="H826" s="2216"/>
      <c r="I826" s="94"/>
      <c r="J826" s="1141"/>
      <c r="K826" s="1355"/>
      <c r="L826" s="1324"/>
      <c r="M826" s="1462"/>
      <c r="N826" s="1495"/>
      <c r="O826" s="1440"/>
      <c r="P826" s="31"/>
      <c r="Q826"/>
      <c r="W826" s="2523">
        <f t="shared" si="118"/>
        <v>0</v>
      </c>
      <c r="X826" s="2543"/>
    </row>
    <row r="827" spans="1:24" ht="18.75">
      <c r="A827" s="32"/>
      <c r="B827" s="548"/>
      <c r="C827" s="2216"/>
      <c r="D827" s="2216"/>
      <c r="E827" s="2216"/>
      <c r="F827" s="2216"/>
      <c r="G827" s="2216"/>
      <c r="H827" s="2216"/>
      <c r="I827" s="94" t="s">
        <v>460</v>
      </c>
      <c r="J827" s="1141">
        <f>J805</f>
        <v>33600</v>
      </c>
      <c r="K827" s="1355">
        <v>0</v>
      </c>
      <c r="L827" s="1324">
        <f>SUM(J827:K827)</f>
        <v>33600</v>
      </c>
      <c r="M827" s="1462">
        <f>M805</f>
        <v>3.36</v>
      </c>
      <c r="N827" s="1495">
        <v>0</v>
      </c>
      <c r="O827" s="1440">
        <f>SUM(M827:N827)</f>
        <v>3.36</v>
      </c>
      <c r="P827" s="31"/>
      <c r="Q827"/>
      <c r="W827" s="2523">
        <f t="shared" si="118"/>
        <v>33600</v>
      </c>
      <c r="X827" s="2543">
        <f>X805</f>
        <v>28000</v>
      </c>
    </row>
    <row r="828" spans="1:24" ht="18.75">
      <c r="A828" s="32">
        <v>15</v>
      </c>
      <c r="B828" s="33"/>
      <c r="C828" s="1532" t="s">
        <v>481</v>
      </c>
      <c r="D828" s="126"/>
      <c r="E828" s="126"/>
      <c r="F828" s="126"/>
      <c r="G828" s="126"/>
      <c r="H828" s="126"/>
      <c r="I828" s="94" t="s">
        <v>460</v>
      </c>
      <c r="J828" s="1141">
        <f>J809</f>
        <v>50400</v>
      </c>
      <c r="K828" s="1355">
        <v>0</v>
      </c>
      <c r="L828" s="1324">
        <f>SUM(J828:K828)</f>
        <v>50400</v>
      </c>
      <c r="M828" s="1462">
        <f>M809</f>
        <v>5.04</v>
      </c>
      <c r="N828" s="1495">
        <v>0</v>
      </c>
      <c r="O828" s="1440">
        <f>SUM(M828:N828)</f>
        <v>5.04</v>
      </c>
      <c r="P828" s="31"/>
      <c r="Q828"/>
      <c r="W828" s="2523">
        <f t="shared" si="118"/>
        <v>50400</v>
      </c>
      <c r="X828" s="2543">
        <f>X809</f>
        <v>42000</v>
      </c>
    </row>
    <row r="829" spans="1:24" ht="18.75">
      <c r="A829" s="32">
        <v>16</v>
      </c>
      <c r="B829" s="548"/>
      <c r="C829" s="2216" t="s">
        <v>482</v>
      </c>
      <c r="D829" s="2216"/>
      <c r="E829" s="2216"/>
      <c r="F829" s="2216"/>
      <c r="G829" s="2216"/>
      <c r="H829" s="2216"/>
      <c r="I829" s="94"/>
      <c r="J829" s="1141"/>
      <c r="K829" s="1355"/>
      <c r="L829" s="1324"/>
      <c r="M829" s="1462"/>
      <c r="N829" s="1495"/>
      <c r="O829" s="1440"/>
      <c r="P829" s="31"/>
      <c r="Q829"/>
      <c r="W829" s="2523">
        <f t="shared" si="118"/>
        <v>0</v>
      </c>
      <c r="X829" s="2543"/>
    </row>
    <row r="830" spans="1:24" ht="18.75">
      <c r="A830" s="32"/>
      <c r="B830" s="548"/>
      <c r="C830" s="2216"/>
      <c r="D830" s="2216"/>
      <c r="E830" s="2216"/>
      <c r="F830" s="2216"/>
      <c r="G830" s="2216"/>
      <c r="H830" s="2216"/>
      <c r="I830" s="94" t="s">
        <v>460</v>
      </c>
      <c r="J830" s="1141">
        <f>J811</f>
        <v>67200</v>
      </c>
      <c r="K830" s="1355">
        <v>0</v>
      </c>
      <c r="L830" s="1324">
        <f>SUM(J830:K830)</f>
        <v>67200</v>
      </c>
      <c r="M830" s="1462">
        <f>M811</f>
        <v>6.72</v>
      </c>
      <c r="N830" s="1495">
        <v>0</v>
      </c>
      <c r="O830" s="1440">
        <f>SUM(M830:N830)</f>
        <v>6.72</v>
      </c>
      <c r="P830" s="31"/>
      <c r="Q830"/>
      <c r="W830" s="2523">
        <f t="shared" si="118"/>
        <v>67200</v>
      </c>
      <c r="X830" s="2543">
        <f>X811</f>
        <v>56000</v>
      </c>
    </row>
    <row r="831" spans="1:24" ht="18.75">
      <c r="A831" s="32">
        <v>17</v>
      </c>
      <c r="B831" s="548"/>
      <c r="C831" s="2216" t="s">
        <v>483</v>
      </c>
      <c r="D831" s="2216"/>
      <c r="E831" s="2216"/>
      <c r="F831" s="2216"/>
      <c r="G831" s="2216"/>
      <c r="H831" s="2216"/>
      <c r="I831" s="94"/>
      <c r="J831" s="1141"/>
      <c r="K831" s="1355"/>
      <c r="L831" s="1324"/>
      <c r="M831" s="1462"/>
      <c r="N831" s="1495"/>
      <c r="O831" s="1440"/>
      <c r="P831" s="31"/>
      <c r="Q831"/>
      <c r="W831" s="2523">
        <f t="shared" si="118"/>
        <v>0</v>
      </c>
      <c r="X831" s="2543"/>
    </row>
    <row r="832" spans="1:24" ht="18.75">
      <c r="A832" s="32"/>
      <c r="B832" s="548"/>
      <c r="C832" s="2216"/>
      <c r="D832" s="2216"/>
      <c r="E832" s="2216"/>
      <c r="F832" s="2216"/>
      <c r="G832" s="2216"/>
      <c r="H832" s="2216"/>
      <c r="I832" s="94"/>
      <c r="J832" s="1141"/>
      <c r="K832" s="1355"/>
      <c r="L832" s="1324"/>
      <c r="M832" s="1462"/>
      <c r="N832" s="1495"/>
      <c r="O832" s="1440"/>
      <c r="P832" s="31"/>
      <c r="Q832"/>
      <c r="W832" s="2523">
        <f t="shared" si="118"/>
        <v>0</v>
      </c>
      <c r="X832" s="2543"/>
    </row>
    <row r="833" spans="1:24" ht="18.75">
      <c r="A833" s="32"/>
      <c r="B833" s="548"/>
      <c r="C833" s="2216"/>
      <c r="D833" s="2216"/>
      <c r="E833" s="2216"/>
      <c r="F833" s="2216"/>
      <c r="G833" s="2216"/>
      <c r="H833" s="2216"/>
      <c r="I833" s="94" t="s">
        <v>460</v>
      </c>
      <c r="J833" s="1141">
        <f>J830</f>
        <v>67200</v>
      </c>
      <c r="K833" s="1355">
        <v>0</v>
      </c>
      <c r="L833" s="1324">
        <f>SUM(J833:K833)</f>
        <v>67200</v>
      </c>
      <c r="M833" s="1462">
        <f>M830</f>
        <v>6.72</v>
      </c>
      <c r="N833" s="1495">
        <v>0</v>
      </c>
      <c r="O833" s="1440">
        <f>SUM(M833:N833)</f>
        <v>6.72</v>
      </c>
      <c r="P833" s="31"/>
      <c r="Q833"/>
      <c r="W833" s="2523">
        <f t="shared" si="118"/>
        <v>67200</v>
      </c>
      <c r="X833" s="2543">
        <f>X830</f>
        <v>56000</v>
      </c>
    </row>
    <row r="834" spans="1:24" ht="18.75">
      <c r="A834" s="32">
        <v>18</v>
      </c>
      <c r="B834" s="33"/>
      <c r="C834" s="1532" t="s">
        <v>484</v>
      </c>
      <c r="D834" s="126"/>
      <c r="E834" s="126"/>
      <c r="F834" s="126"/>
      <c r="G834" s="126"/>
      <c r="H834" s="126"/>
      <c r="I834" s="94" t="s">
        <v>460</v>
      </c>
      <c r="J834" s="1141">
        <v>100900</v>
      </c>
      <c r="K834" s="1355">
        <v>0</v>
      </c>
      <c r="L834" s="1324">
        <f>SUM(J834:K834)</f>
        <v>100900</v>
      </c>
      <c r="M834" s="1486">
        <f>J834/10000</f>
        <v>10.09</v>
      </c>
      <c r="N834" s="1465">
        <f>K834</f>
        <v>0</v>
      </c>
      <c r="O834" s="1440">
        <f>SUM(M834:N834)</f>
        <v>10.09</v>
      </c>
      <c r="P834" s="31"/>
      <c r="Q834"/>
      <c r="W834" s="2523">
        <f t="shared" si="118"/>
        <v>100920</v>
      </c>
      <c r="X834" s="2543">
        <v>84100</v>
      </c>
    </row>
    <row r="835" spans="1:24" ht="18.75">
      <c r="A835" s="32">
        <v>19</v>
      </c>
      <c r="B835" s="548"/>
      <c r="C835" s="2216" t="s">
        <v>514</v>
      </c>
      <c r="D835" s="2216"/>
      <c r="E835" s="2216"/>
      <c r="F835" s="2216"/>
      <c r="G835" s="2216"/>
      <c r="H835" s="2216"/>
      <c r="I835" s="94"/>
      <c r="J835" s="1141"/>
      <c r="K835" s="1355"/>
      <c r="L835" s="1324"/>
      <c r="M835" s="1462"/>
      <c r="N835" s="1495"/>
      <c r="O835" s="1440"/>
      <c r="P835" s="31"/>
      <c r="Q835"/>
      <c r="W835" s="2523">
        <f t="shared" si="118"/>
        <v>0</v>
      </c>
      <c r="X835" s="2543"/>
    </row>
    <row r="836" spans="1:24" ht="18.75">
      <c r="A836" s="32"/>
      <c r="B836" s="548"/>
      <c r="C836" s="2216"/>
      <c r="D836" s="2216"/>
      <c r="E836" s="2216"/>
      <c r="F836" s="2216"/>
      <c r="G836" s="2216"/>
      <c r="H836" s="2216"/>
      <c r="I836" s="94" t="s">
        <v>460</v>
      </c>
      <c r="J836" s="1141">
        <f>J821</f>
        <v>84000</v>
      </c>
      <c r="K836" s="1355">
        <v>0</v>
      </c>
      <c r="L836" s="1324">
        <f>SUM(J836:K836)</f>
        <v>84000</v>
      </c>
      <c r="M836" s="1462">
        <f>M821</f>
        <v>8.4</v>
      </c>
      <c r="N836" s="1495">
        <v>0</v>
      </c>
      <c r="O836" s="1440">
        <f>SUM(M836:N836)</f>
        <v>8.4</v>
      </c>
      <c r="P836" s="31"/>
      <c r="Q836"/>
      <c r="W836" s="2523">
        <f t="shared" si="118"/>
        <v>84000</v>
      </c>
      <c r="X836" s="2543">
        <f>X821</f>
        <v>70000</v>
      </c>
    </row>
    <row r="837" spans="1:24" ht="18.75">
      <c r="A837" s="32"/>
      <c r="B837" s="548"/>
      <c r="C837" s="2216"/>
      <c r="D837" s="2216"/>
      <c r="E837" s="2216"/>
      <c r="F837" s="2216"/>
      <c r="G837" s="2216"/>
      <c r="H837" s="2216"/>
      <c r="I837" s="94"/>
      <c r="J837" s="1141"/>
      <c r="K837" s="1355"/>
      <c r="L837" s="1324"/>
      <c r="M837" s="1462"/>
      <c r="N837" s="1495"/>
      <c r="O837" s="1440"/>
      <c r="P837" s="31"/>
      <c r="Q837"/>
      <c r="W837" s="2523">
        <f t="shared" si="118"/>
        <v>0</v>
      </c>
      <c r="X837" s="2543"/>
    </row>
    <row r="838" spans="1:24" ht="18.75">
      <c r="A838" s="32">
        <v>20</v>
      </c>
      <c r="B838" s="33"/>
      <c r="C838" s="1532" t="s">
        <v>515</v>
      </c>
      <c r="D838" s="126"/>
      <c r="E838" s="126"/>
      <c r="F838" s="126"/>
      <c r="G838" s="126"/>
      <c r="H838" s="126"/>
      <c r="I838" s="94" t="s">
        <v>460</v>
      </c>
      <c r="J838" s="1141">
        <f>J828</f>
        <v>50400</v>
      </c>
      <c r="K838" s="1355">
        <v>0</v>
      </c>
      <c r="L838" s="1324">
        <f>SUM(J838:K838)</f>
        <v>50400</v>
      </c>
      <c r="M838" s="1462">
        <f>M828</f>
        <v>5.04</v>
      </c>
      <c r="N838" s="1495">
        <v>0</v>
      </c>
      <c r="O838" s="1440">
        <f>SUM(M838:N838)</f>
        <v>5.04</v>
      </c>
      <c r="P838" s="31"/>
      <c r="Q838"/>
      <c r="W838" s="2523">
        <f t="shared" si="118"/>
        <v>50400</v>
      </c>
      <c r="X838" s="2543">
        <f>X828</f>
        <v>42000</v>
      </c>
    </row>
    <row r="839" spans="1:24" ht="18.75">
      <c r="A839" s="32">
        <v>21</v>
      </c>
      <c r="B839" s="548"/>
      <c r="C839" s="2216" t="s">
        <v>516</v>
      </c>
      <c r="D839" s="2216"/>
      <c r="E839" s="2216"/>
      <c r="F839" s="2216"/>
      <c r="G839" s="2216"/>
      <c r="H839" s="2216"/>
      <c r="I839" s="94"/>
      <c r="J839" s="1141"/>
      <c r="K839" s="1355"/>
      <c r="L839" s="1324"/>
      <c r="M839" s="1462"/>
      <c r="N839" s="1495"/>
      <c r="O839" s="1440"/>
      <c r="P839" s="31"/>
      <c r="Q839"/>
      <c r="W839" s="2523">
        <f t="shared" si="118"/>
        <v>0</v>
      </c>
      <c r="X839" s="2543"/>
    </row>
    <row r="840" spans="1:24" ht="18.75">
      <c r="A840" s="32"/>
      <c r="B840" s="548"/>
      <c r="C840" s="2216"/>
      <c r="D840" s="2216"/>
      <c r="E840" s="2216"/>
      <c r="F840" s="2216"/>
      <c r="G840" s="2216"/>
      <c r="H840" s="2216"/>
      <c r="I840" s="94" t="s">
        <v>460</v>
      </c>
      <c r="J840" s="1141">
        <f>J833</f>
        <v>67200</v>
      </c>
      <c r="K840" s="1355">
        <v>0</v>
      </c>
      <c r="L840" s="1324">
        <f>SUM(J840:K840)</f>
        <v>67200</v>
      </c>
      <c r="M840" s="1462">
        <f>M833</f>
        <v>6.72</v>
      </c>
      <c r="N840" s="1495">
        <v>0</v>
      </c>
      <c r="O840" s="1440">
        <f>SUM(M840:N840)</f>
        <v>6.72</v>
      </c>
      <c r="P840" s="31"/>
      <c r="Q840"/>
      <c r="W840" s="2523">
        <f t="shared" si="118"/>
        <v>67200</v>
      </c>
      <c r="X840" s="2543">
        <f>X833</f>
        <v>56000</v>
      </c>
    </row>
    <row r="841" spans="1:24" ht="18.75">
      <c r="A841" s="32">
        <v>22</v>
      </c>
      <c r="B841" s="548"/>
      <c r="C841" s="2216" t="s">
        <v>517</v>
      </c>
      <c r="D841" s="2216"/>
      <c r="E841" s="2216"/>
      <c r="F841" s="2216"/>
      <c r="G841" s="2216"/>
      <c r="H841" s="2216"/>
      <c r="I841" s="94"/>
      <c r="J841" s="1141"/>
      <c r="K841" s="1355"/>
      <c r="L841" s="1324"/>
      <c r="M841" s="1462"/>
      <c r="N841" s="1495"/>
      <c r="O841" s="1440"/>
      <c r="P841" s="31"/>
      <c r="Q841"/>
      <c r="W841" s="2523">
        <f t="shared" si="118"/>
        <v>0</v>
      </c>
      <c r="X841" s="2543"/>
    </row>
    <row r="842" spans="1:24" ht="18.75">
      <c r="A842" s="32"/>
      <c r="B842" s="548"/>
      <c r="C842" s="2216"/>
      <c r="D842" s="2216"/>
      <c r="E842" s="2216"/>
      <c r="F842" s="2216"/>
      <c r="G842" s="2216"/>
      <c r="H842" s="2216"/>
      <c r="I842" s="94" t="s">
        <v>460</v>
      </c>
      <c r="J842" s="1141">
        <f>J805</f>
        <v>33600</v>
      </c>
      <c r="K842" s="1355">
        <v>0</v>
      </c>
      <c r="L842" s="1324">
        <f>SUM(J842:K842)</f>
        <v>33600</v>
      </c>
      <c r="M842" s="1462">
        <f>M805</f>
        <v>3.36</v>
      </c>
      <c r="N842" s="1495">
        <v>0</v>
      </c>
      <c r="O842" s="1440">
        <f>SUM(M842:N842)</f>
        <v>3.36</v>
      </c>
      <c r="P842" s="31"/>
      <c r="Q842"/>
      <c r="W842" s="2523">
        <f t="shared" si="118"/>
        <v>33600</v>
      </c>
      <c r="X842" s="2543">
        <f>X805</f>
        <v>28000</v>
      </c>
    </row>
    <row r="843" spans="1:24" ht="18.75">
      <c r="A843" s="32">
        <v>23</v>
      </c>
      <c r="B843" s="548"/>
      <c r="C843" s="2216" t="s">
        <v>518</v>
      </c>
      <c r="D843" s="2216"/>
      <c r="E843" s="2216"/>
      <c r="F843" s="2216"/>
      <c r="G843" s="2216"/>
      <c r="H843" s="2216"/>
      <c r="I843" s="94"/>
      <c r="J843" s="1141"/>
      <c r="K843" s="1355"/>
      <c r="L843" s="1324"/>
      <c r="M843" s="1462"/>
      <c r="N843" s="1495"/>
      <c r="O843" s="1440"/>
      <c r="P843" s="31"/>
      <c r="Q843"/>
      <c r="W843" s="2523">
        <f t="shared" si="118"/>
        <v>0</v>
      </c>
      <c r="X843" s="2543"/>
    </row>
    <row r="844" spans="1:24" ht="18.75">
      <c r="A844" s="32"/>
      <c r="B844" s="548"/>
      <c r="C844" s="2216"/>
      <c r="D844" s="2216"/>
      <c r="E844" s="2216"/>
      <c r="F844" s="2216"/>
      <c r="G844" s="2216"/>
      <c r="H844" s="2216"/>
      <c r="I844" s="94" t="s">
        <v>460</v>
      </c>
      <c r="J844" s="1141">
        <f>J842</f>
        <v>33600</v>
      </c>
      <c r="K844" s="1355">
        <v>0</v>
      </c>
      <c r="L844" s="1324">
        <f>SUM(J844:K844)</f>
        <v>33600</v>
      </c>
      <c r="M844" s="1462">
        <f>M842</f>
        <v>3.36</v>
      </c>
      <c r="N844" s="1495">
        <v>0</v>
      </c>
      <c r="O844" s="1440">
        <f>SUM(M844:N844)</f>
        <v>3.36</v>
      </c>
      <c r="P844" s="31"/>
      <c r="Q844"/>
      <c r="W844" s="2523">
        <f t="shared" si="118"/>
        <v>33600</v>
      </c>
      <c r="X844" s="2543">
        <f>X842</f>
        <v>28000</v>
      </c>
    </row>
    <row r="845" spans="1:24" ht="18.75">
      <c r="A845" s="32">
        <v>24</v>
      </c>
      <c r="B845" s="548"/>
      <c r="C845" s="2216" t="s">
        <v>519</v>
      </c>
      <c r="D845" s="2216"/>
      <c r="E845" s="2216"/>
      <c r="F845" s="2216"/>
      <c r="G845" s="2216"/>
      <c r="H845" s="2216"/>
      <c r="I845" s="94"/>
      <c r="J845" s="1141"/>
      <c r="K845" s="1355"/>
      <c r="L845" s="1324"/>
      <c r="M845" s="1462"/>
      <c r="N845" s="1495"/>
      <c r="O845" s="1440"/>
      <c r="P845" s="31"/>
      <c r="Q845"/>
      <c r="W845" s="2523">
        <f t="shared" si="118"/>
        <v>0</v>
      </c>
      <c r="X845" s="2543"/>
    </row>
    <row r="846" spans="1:24" ht="18.75">
      <c r="A846" s="32"/>
      <c r="B846" s="548"/>
      <c r="C846" s="2216"/>
      <c r="D846" s="2216"/>
      <c r="E846" s="2216"/>
      <c r="F846" s="2216"/>
      <c r="G846" s="2216"/>
      <c r="H846" s="2216"/>
      <c r="I846" s="94" t="s">
        <v>460</v>
      </c>
      <c r="J846" s="1141">
        <f>J844</f>
        <v>33600</v>
      </c>
      <c r="K846" s="1355">
        <v>0</v>
      </c>
      <c r="L846" s="1324">
        <f>SUM(J846:K846)</f>
        <v>33600</v>
      </c>
      <c r="M846" s="1462">
        <f>M844</f>
        <v>3.36</v>
      </c>
      <c r="N846" s="1495">
        <v>0</v>
      </c>
      <c r="O846" s="1440">
        <f>SUM(M846:N846)</f>
        <v>3.36</v>
      </c>
      <c r="P846" s="31"/>
      <c r="Q846"/>
      <c r="W846" s="2523">
        <f t="shared" si="118"/>
        <v>33600</v>
      </c>
      <c r="X846" s="2543">
        <f>X844</f>
        <v>28000</v>
      </c>
    </row>
    <row r="847" spans="1:24" ht="18.75">
      <c r="A847" s="32">
        <v>25</v>
      </c>
      <c r="B847" s="33"/>
      <c r="C847" s="1532" t="s">
        <v>522</v>
      </c>
      <c r="D847" s="126"/>
      <c r="E847" s="126"/>
      <c r="F847" s="126"/>
      <c r="G847" s="126"/>
      <c r="H847" s="126"/>
      <c r="I847" s="94" t="s">
        <v>460</v>
      </c>
      <c r="J847" s="1141">
        <f>J846</f>
        <v>33600</v>
      </c>
      <c r="K847" s="1355">
        <v>0</v>
      </c>
      <c r="L847" s="1324">
        <f>SUM(J847:K847)</f>
        <v>33600</v>
      </c>
      <c r="M847" s="1462">
        <f>M846</f>
        <v>3.36</v>
      </c>
      <c r="N847" s="1495">
        <v>0</v>
      </c>
      <c r="O847" s="1440">
        <f>SUM(M847:N847)</f>
        <v>3.36</v>
      </c>
      <c r="P847" s="31"/>
      <c r="Q847"/>
      <c r="W847" s="2523">
        <f t="shared" si="118"/>
        <v>33600</v>
      </c>
      <c r="X847" s="2543">
        <f>X846</f>
        <v>28000</v>
      </c>
    </row>
    <row r="848" spans="1:26" s="19" customFormat="1" ht="18.75">
      <c r="A848" s="92"/>
      <c r="B848" s="75"/>
      <c r="C848" s="17"/>
      <c r="D848" s="17"/>
      <c r="E848" s="17"/>
      <c r="F848" s="2"/>
      <c r="G848" s="2"/>
      <c r="H848" s="129"/>
      <c r="I848" s="540"/>
      <c r="J848" s="1157"/>
      <c r="K848" s="1354"/>
      <c r="L848" s="1348"/>
      <c r="M848" s="1486"/>
      <c r="N848" s="1474"/>
      <c r="O848" s="1440"/>
      <c r="P848" s="104"/>
      <c r="R848" s="2509"/>
      <c r="S848" s="2509"/>
      <c r="T848" s="2509"/>
      <c r="U848" s="2509"/>
      <c r="V848" s="2509"/>
      <c r="W848" s="2523">
        <f t="shared" si="118"/>
        <v>0</v>
      </c>
      <c r="X848" s="2545"/>
      <c r="Y848" s="2509"/>
      <c r="Z848" s="2509"/>
    </row>
    <row r="849" spans="1:26" s="65" customFormat="1" ht="18">
      <c r="A849" s="15">
        <v>9</v>
      </c>
      <c r="B849" s="107" t="s">
        <v>621</v>
      </c>
      <c r="C849" s="3"/>
      <c r="D849" s="3"/>
      <c r="E849" s="3"/>
      <c r="F849" s="2"/>
      <c r="G849" s="2"/>
      <c r="H849" s="2"/>
      <c r="I849" s="94"/>
      <c r="J849" s="1141"/>
      <c r="K849" s="1354"/>
      <c r="L849" s="1326"/>
      <c r="M849" s="1462"/>
      <c r="N849" s="1474"/>
      <c r="O849" s="1442"/>
      <c r="P849" s="23"/>
      <c r="Q849" s="5"/>
      <c r="R849" s="2509"/>
      <c r="S849" s="2509"/>
      <c r="T849" s="2509"/>
      <c r="U849" s="2509"/>
      <c r="V849" s="2509"/>
      <c r="W849" s="2523">
        <f t="shared" si="118"/>
        <v>0</v>
      </c>
      <c r="X849" s="2543"/>
      <c r="Y849" s="2509"/>
      <c r="Z849" s="2509"/>
    </row>
    <row r="850" spans="1:24" ht="18">
      <c r="A850" s="15"/>
      <c r="B850" s="66" t="s">
        <v>622</v>
      </c>
      <c r="C850" s="501" t="s">
        <v>623</v>
      </c>
      <c r="D850" s="3"/>
      <c r="E850" s="3"/>
      <c r="I850" s="94"/>
      <c r="J850" s="1141"/>
      <c r="K850" s="1354"/>
      <c r="L850" s="1326"/>
      <c r="M850" s="1462"/>
      <c r="N850" s="1474"/>
      <c r="O850" s="1442"/>
      <c r="P850" s="23"/>
      <c r="W850" s="2523">
        <f t="shared" si="118"/>
        <v>0</v>
      </c>
      <c r="X850" s="2543"/>
    </row>
    <row r="851" spans="1:26" s="643" customFormat="1" ht="18.75">
      <c r="A851" s="636">
        <v>1</v>
      </c>
      <c r="B851" s="637"/>
      <c r="C851" s="1544" t="s">
        <v>624</v>
      </c>
      <c r="D851" s="639"/>
      <c r="E851" s="639"/>
      <c r="F851" s="640"/>
      <c r="G851" s="640"/>
      <c r="H851" s="724"/>
      <c r="I851" s="1046" t="s">
        <v>573</v>
      </c>
      <c r="J851" s="1142">
        <v>96100</v>
      </c>
      <c r="K851" s="1356">
        <f aca="true" t="shared" si="119" ref="K851:K861">K258</f>
        <v>0.16</v>
      </c>
      <c r="L851" s="1357">
        <f aca="true" t="shared" si="120" ref="L851:L886">SUM(J851:K851)</f>
        <v>96100.16</v>
      </c>
      <c r="M851" s="1486">
        <f aca="true" t="shared" si="121" ref="M851:M886">J851/10000</f>
        <v>9.61</v>
      </c>
      <c r="N851" s="1496">
        <f aca="true" t="shared" si="122" ref="N851:N861">N258</f>
        <v>0.16</v>
      </c>
      <c r="O851" s="1456">
        <f aca="true" t="shared" si="123" ref="O851:O869">SUM(M851:N851)</f>
        <v>9.77</v>
      </c>
      <c r="P851" s="641"/>
      <c r="Q851" s="642"/>
      <c r="R851" s="2516"/>
      <c r="S851" s="2516"/>
      <c r="T851" s="2516"/>
      <c r="U851" s="2516"/>
      <c r="V851" s="2516"/>
      <c r="W851" s="2523">
        <f t="shared" si="118"/>
        <v>96120</v>
      </c>
      <c r="X851" s="2543">
        <v>80100</v>
      </c>
      <c r="Y851" s="2516"/>
      <c r="Z851" s="2516"/>
    </row>
    <row r="852" spans="1:26" s="9" customFormat="1" ht="18.75">
      <c r="A852" s="11">
        <v>2</v>
      </c>
      <c r="B852" s="67"/>
      <c r="C852" s="1532" t="s">
        <v>625</v>
      </c>
      <c r="D852" s="3"/>
      <c r="E852" s="3"/>
      <c r="F852" s="48"/>
      <c r="G852" s="48" t="s">
        <v>626</v>
      </c>
      <c r="H852" s="10"/>
      <c r="I852" s="1047" t="s">
        <v>573</v>
      </c>
      <c r="J852" s="1141">
        <v>96100</v>
      </c>
      <c r="K852" s="1356">
        <f t="shared" si="119"/>
        <v>1.96765995</v>
      </c>
      <c r="L852" s="1348">
        <f t="shared" si="120"/>
        <v>96101.96765995</v>
      </c>
      <c r="M852" s="1486">
        <f t="shared" si="121"/>
        <v>9.61</v>
      </c>
      <c r="N852" s="1496">
        <f t="shared" si="122"/>
        <v>1.96765995</v>
      </c>
      <c r="O852" s="1440">
        <f t="shared" si="123"/>
        <v>11.57765995</v>
      </c>
      <c r="P852" s="23"/>
      <c r="Q852" s="53"/>
      <c r="R852" s="2516"/>
      <c r="S852" s="2516"/>
      <c r="T852" s="2516"/>
      <c r="U852" s="2516"/>
      <c r="V852" s="2516"/>
      <c r="W852" s="2523">
        <f t="shared" si="118"/>
        <v>96120</v>
      </c>
      <c r="X852" s="2543">
        <v>80100</v>
      </c>
      <c r="Y852" s="2516"/>
      <c r="Z852" s="2516"/>
    </row>
    <row r="853" spans="1:26" s="9" customFormat="1" ht="18.75">
      <c r="A853" s="11"/>
      <c r="B853" s="67"/>
      <c r="C853" s="1532"/>
      <c r="D853" s="3"/>
      <c r="E853" s="3"/>
      <c r="F853" s="48"/>
      <c r="G853" s="48" t="s">
        <v>627</v>
      </c>
      <c r="H853" s="10"/>
      <c r="I853" s="1047" t="s">
        <v>573</v>
      </c>
      <c r="J853" s="1141">
        <v>144100</v>
      </c>
      <c r="K853" s="1358">
        <f t="shared" si="119"/>
        <v>3.7594799499999993</v>
      </c>
      <c r="L853" s="1348">
        <f t="shared" si="120"/>
        <v>144103.75947995</v>
      </c>
      <c r="M853" s="1486">
        <f t="shared" si="121"/>
        <v>14.41</v>
      </c>
      <c r="N853" s="1497">
        <f t="shared" si="122"/>
        <v>3.7594799499999993</v>
      </c>
      <c r="O853" s="1440">
        <f t="shared" si="123"/>
        <v>18.16947995</v>
      </c>
      <c r="P853" s="23"/>
      <c r="Q853" s="53"/>
      <c r="R853" s="2516"/>
      <c r="S853" s="2516"/>
      <c r="T853" s="2516"/>
      <c r="U853" s="2516"/>
      <c r="V853" s="2516"/>
      <c r="W853" s="2523">
        <f t="shared" si="118"/>
        <v>144120</v>
      </c>
      <c r="X853" s="2543">
        <v>120100</v>
      </c>
      <c r="Y853" s="2516"/>
      <c r="Z853" s="2516"/>
    </row>
    <row r="854" spans="1:26" s="9" customFormat="1" ht="18.75">
      <c r="A854" s="11">
        <v>3</v>
      </c>
      <c r="B854" s="67"/>
      <c r="C854" s="1532" t="s">
        <v>628</v>
      </c>
      <c r="D854" s="3"/>
      <c r="E854" s="3"/>
      <c r="F854" s="48"/>
      <c r="G854" s="48" t="s">
        <v>629</v>
      </c>
      <c r="H854" s="10"/>
      <c r="I854" s="1047" t="s">
        <v>573</v>
      </c>
      <c r="J854" s="1141">
        <v>144100</v>
      </c>
      <c r="K854" s="1358">
        <f t="shared" si="119"/>
        <v>1.195892</v>
      </c>
      <c r="L854" s="1348">
        <f t="shared" si="120"/>
        <v>144101.195892</v>
      </c>
      <c r="M854" s="1486">
        <f t="shared" si="121"/>
        <v>14.41</v>
      </c>
      <c r="N854" s="1497">
        <f t="shared" si="122"/>
        <v>1.195892</v>
      </c>
      <c r="O854" s="1440">
        <f t="shared" si="123"/>
        <v>15.605892</v>
      </c>
      <c r="P854" s="23"/>
      <c r="Q854" s="53"/>
      <c r="R854" s="2516"/>
      <c r="S854" s="2516"/>
      <c r="T854" s="2516"/>
      <c r="U854" s="2516"/>
      <c r="V854" s="2516"/>
      <c r="W854" s="2523">
        <f t="shared" si="118"/>
        <v>144120</v>
      </c>
      <c r="X854" s="2543">
        <v>120100</v>
      </c>
      <c r="Y854" s="2516"/>
      <c r="Z854" s="2516"/>
    </row>
    <row r="855" spans="1:26" s="9" customFormat="1" ht="18.75">
      <c r="A855" s="11"/>
      <c r="B855" s="67"/>
      <c r="C855" s="1532"/>
      <c r="D855" s="3"/>
      <c r="E855" s="3"/>
      <c r="F855" s="48"/>
      <c r="G855" s="48" t="s">
        <v>630</v>
      </c>
      <c r="H855" s="10"/>
      <c r="I855" s="1047" t="s">
        <v>573</v>
      </c>
      <c r="J855" s="1141">
        <v>96100</v>
      </c>
      <c r="K855" s="1358">
        <f t="shared" si="119"/>
        <v>1.195892</v>
      </c>
      <c r="L855" s="1348">
        <f t="shared" si="120"/>
        <v>96101.195892</v>
      </c>
      <c r="M855" s="1486">
        <f t="shared" si="121"/>
        <v>9.61</v>
      </c>
      <c r="N855" s="1497">
        <f t="shared" si="122"/>
        <v>1.195892</v>
      </c>
      <c r="O855" s="1440">
        <f t="shared" si="123"/>
        <v>10.805892</v>
      </c>
      <c r="P855" s="23"/>
      <c r="Q855" s="53"/>
      <c r="R855" s="2516"/>
      <c r="S855" s="2516"/>
      <c r="T855" s="2516"/>
      <c r="U855" s="2516"/>
      <c r="V855" s="2516"/>
      <c r="W855" s="2523">
        <f t="shared" si="118"/>
        <v>96120</v>
      </c>
      <c r="X855" s="2543">
        <v>80100</v>
      </c>
      <c r="Y855" s="2516"/>
      <c r="Z855" s="2516"/>
    </row>
    <row r="856" spans="1:26" s="9" customFormat="1" ht="18.75">
      <c r="A856" s="11">
        <v>4</v>
      </c>
      <c r="B856" s="67"/>
      <c r="C856" s="1532" t="s">
        <v>631</v>
      </c>
      <c r="D856" s="3"/>
      <c r="E856" s="3"/>
      <c r="F856" s="48"/>
      <c r="G856" s="48"/>
      <c r="H856" s="10"/>
      <c r="I856" s="1047" t="s">
        <v>573</v>
      </c>
      <c r="J856" s="1141">
        <v>144100</v>
      </c>
      <c r="K856" s="1358">
        <f t="shared" si="119"/>
        <v>6.52320625</v>
      </c>
      <c r="L856" s="1348">
        <f t="shared" si="120"/>
        <v>144106.52320625</v>
      </c>
      <c r="M856" s="1486">
        <f t="shared" si="121"/>
        <v>14.41</v>
      </c>
      <c r="N856" s="1497">
        <f t="shared" si="122"/>
        <v>6.52320625</v>
      </c>
      <c r="O856" s="1440">
        <f t="shared" si="123"/>
        <v>20.93320625</v>
      </c>
      <c r="P856" s="23"/>
      <c r="Q856" s="53"/>
      <c r="R856" s="2516"/>
      <c r="S856" s="2516"/>
      <c r="T856" s="2516"/>
      <c r="U856" s="2516"/>
      <c r="V856" s="2516"/>
      <c r="W856" s="2523">
        <f t="shared" si="118"/>
        <v>144120</v>
      </c>
      <c r="X856" s="2543">
        <v>120100</v>
      </c>
      <c r="Y856" s="2516"/>
      <c r="Z856" s="2516"/>
    </row>
    <row r="857" spans="1:26" s="9" customFormat="1" ht="18.75">
      <c r="A857" s="11">
        <v>5</v>
      </c>
      <c r="B857" s="67"/>
      <c r="C857" s="1532" t="s">
        <v>632</v>
      </c>
      <c r="D857" s="3"/>
      <c r="E857" s="3"/>
      <c r="F857" s="48"/>
      <c r="G857" s="48"/>
      <c r="H857" s="10"/>
      <c r="I857" s="1047" t="s">
        <v>573</v>
      </c>
      <c r="J857" s="1141">
        <v>96100</v>
      </c>
      <c r="K857" s="1358">
        <f t="shared" si="119"/>
        <v>0.8245352</v>
      </c>
      <c r="L857" s="1348">
        <f t="shared" si="120"/>
        <v>96100.8245352</v>
      </c>
      <c r="M857" s="1486">
        <f t="shared" si="121"/>
        <v>9.61</v>
      </c>
      <c r="N857" s="1497">
        <f t="shared" si="122"/>
        <v>0.8245352</v>
      </c>
      <c r="O857" s="1440">
        <f t="shared" si="123"/>
        <v>10.4345352</v>
      </c>
      <c r="P857" s="23"/>
      <c r="Q857" s="53"/>
      <c r="R857" s="2516"/>
      <c r="S857" s="2516"/>
      <c r="T857" s="2516"/>
      <c r="U857" s="2516"/>
      <c r="V857" s="2516"/>
      <c r="W857" s="2523">
        <f t="shared" si="118"/>
        <v>96120</v>
      </c>
      <c r="X857" s="2543">
        <v>80100</v>
      </c>
      <c r="Y857" s="2516"/>
      <c r="Z857" s="2516"/>
    </row>
    <row r="858" spans="1:26" s="9" customFormat="1" ht="18.75">
      <c r="A858" s="11">
        <v>6</v>
      </c>
      <c r="B858" s="67"/>
      <c r="C858" s="1532" t="s">
        <v>633</v>
      </c>
      <c r="D858" s="3"/>
      <c r="E858" s="3"/>
      <c r="F858" s="48"/>
      <c r="G858" s="48" t="s">
        <v>626</v>
      </c>
      <c r="H858" s="10"/>
      <c r="I858" s="1047" t="s">
        <v>573</v>
      </c>
      <c r="J858" s="1141">
        <v>28800</v>
      </c>
      <c r="K858" s="1358">
        <f t="shared" si="119"/>
        <v>0.28824265</v>
      </c>
      <c r="L858" s="1348">
        <f t="shared" si="120"/>
        <v>28800.28824265</v>
      </c>
      <c r="M858" s="1486">
        <f t="shared" si="121"/>
        <v>2.88</v>
      </c>
      <c r="N858" s="1497">
        <f t="shared" si="122"/>
        <v>0.28824265</v>
      </c>
      <c r="O858" s="1440">
        <f t="shared" si="123"/>
        <v>3.16824265</v>
      </c>
      <c r="P858" s="23"/>
      <c r="Q858" s="53"/>
      <c r="R858" s="2516"/>
      <c r="S858" s="2516"/>
      <c r="T858" s="2516"/>
      <c r="U858" s="2516"/>
      <c r="V858" s="2516"/>
      <c r="W858" s="2523">
        <f t="shared" si="118"/>
        <v>28800</v>
      </c>
      <c r="X858" s="2543">
        <v>24000</v>
      </c>
      <c r="Y858" s="2516"/>
      <c r="Z858" s="2516"/>
    </row>
    <row r="859" spans="1:26" s="9" customFormat="1" ht="18.75">
      <c r="A859" s="11"/>
      <c r="B859" s="67"/>
      <c r="C859" s="1532"/>
      <c r="D859" s="3"/>
      <c r="E859" s="3"/>
      <c r="F859" s="48"/>
      <c r="G859" s="48" t="s">
        <v>627</v>
      </c>
      <c r="H859" s="10"/>
      <c r="I859" s="1047" t="s">
        <v>573</v>
      </c>
      <c r="J859" s="1141">
        <v>48000</v>
      </c>
      <c r="K859" s="1358">
        <f t="shared" si="119"/>
        <v>0.41648529999999995</v>
      </c>
      <c r="L859" s="1348">
        <f t="shared" si="120"/>
        <v>48000.4164853</v>
      </c>
      <c r="M859" s="1486">
        <f t="shared" si="121"/>
        <v>4.8</v>
      </c>
      <c r="N859" s="1497">
        <f t="shared" si="122"/>
        <v>0.41648529999999995</v>
      </c>
      <c r="O859" s="1440">
        <f t="shared" si="123"/>
        <v>5.2164852999999995</v>
      </c>
      <c r="P859" s="23"/>
      <c r="Q859" s="53"/>
      <c r="R859" s="2516"/>
      <c r="S859" s="2516"/>
      <c r="T859" s="2516"/>
      <c r="U859" s="2516"/>
      <c r="V859" s="2516"/>
      <c r="W859" s="2523">
        <f t="shared" si="118"/>
        <v>48000</v>
      </c>
      <c r="X859" s="2543">
        <v>40000</v>
      </c>
      <c r="Y859" s="2516"/>
      <c r="Z859" s="2516"/>
    </row>
    <row r="860" spans="1:26" s="9" customFormat="1" ht="18.75">
      <c r="A860" s="11">
        <v>7</v>
      </c>
      <c r="B860" s="67"/>
      <c r="C860" s="1532" t="s">
        <v>634</v>
      </c>
      <c r="D860" s="3"/>
      <c r="E860" s="3"/>
      <c r="F860" s="48"/>
      <c r="G860" s="48" t="s">
        <v>626</v>
      </c>
      <c r="H860" s="10"/>
      <c r="I860" s="1047" t="s">
        <v>573</v>
      </c>
      <c r="J860" s="1141">
        <v>38400</v>
      </c>
      <c r="K860" s="1358">
        <f t="shared" si="119"/>
        <v>0.28824265</v>
      </c>
      <c r="L860" s="1348">
        <f t="shared" si="120"/>
        <v>38400.28824265</v>
      </c>
      <c r="M860" s="1486">
        <f t="shared" si="121"/>
        <v>3.84</v>
      </c>
      <c r="N860" s="1497">
        <f t="shared" si="122"/>
        <v>0.28824265</v>
      </c>
      <c r="O860" s="1440">
        <f t="shared" si="123"/>
        <v>4.12824265</v>
      </c>
      <c r="P860" s="23"/>
      <c r="Q860" s="53"/>
      <c r="R860" s="2516"/>
      <c r="S860" s="2516"/>
      <c r="T860" s="2516"/>
      <c r="U860" s="2516"/>
      <c r="V860" s="2516"/>
      <c r="W860" s="2523">
        <f t="shared" si="118"/>
        <v>38400</v>
      </c>
      <c r="X860" s="2543">
        <v>32000</v>
      </c>
      <c r="Y860" s="2516"/>
      <c r="Z860" s="2516"/>
    </row>
    <row r="861" spans="1:26" s="9" customFormat="1" ht="18.75">
      <c r="A861" s="11"/>
      <c r="B861" s="67"/>
      <c r="C861" s="1532"/>
      <c r="D861" s="3"/>
      <c r="E861" s="3"/>
      <c r="F861" s="48"/>
      <c r="G861" s="48" t="s">
        <v>627</v>
      </c>
      <c r="H861" s="10"/>
      <c r="I861" s="1047" t="s">
        <v>573</v>
      </c>
      <c r="J861" s="1141">
        <v>57600</v>
      </c>
      <c r="K861" s="1358">
        <f t="shared" si="119"/>
        <v>0.41648529999999995</v>
      </c>
      <c r="L861" s="1348">
        <f t="shared" si="120"/>
        <v>57600.4164853</v>
      </c>
      <c r="M861" s="1486">
        <f t="shared" si="121"/>
        <v>5.76</v>
      </c>
      <c r="N861" s="1497">
        <f t="shared" si="122"/>
        <v>0.41648529999999995</v>
      </c>
      <c r="O861" s="1440">
        <f t="shared" si="123"/>
        <v>6.1764852999999995</v>
      </c>
      <c r="P861" s="23"/>
      <c r="Q861" s="53"/>
      <c r="R861" s="2516"/>
      <c r="S861" s="2516"/>
      <c r="T861" s="2516"/>
      <c r="U861" s="2516"/>
      <c r="V861" s="2516"/>
      <c r="W861" s="2523">
        <f t="shared" si="118"/>
        <v>57600</v>
      </c>
      <c r="X861" s="2543">
        <v>48000</v>
      </c>
      <c r="Y861" s="2516"/>
      <c r="Z861" s="2516"/>
    </row>
    <row r="862" spans="1:26" s="9" customFormat="1" ht="18.75">
      <c r="A862" s="11">
        <v>8</v>
      </c>
      <c r="B862" s="67"/>
      <c r="C862" s="1532" t="s">
        <v>635</v>
      </c>
      <c r="D862" s="3"/>
      <c r="E862" s="3"/>
      <c r="F862" s="48"/>
      <c r="G862" s="48"/>
      <c r="H862" s="10"/>
      <c r="I862" s="1047" t="s">
        <v>573</v>
      </c>
      <c r="J862" s="1141">
        <v>10400</v>
      </c>
      <c r="K862" s="1358"/>
      <c r="L862" s="1348">
        <f t="shared" si="120"/>
        <v>10400</v>
      </c>
      <c r="M862" s="1486">
        <f t="shared" si="121"/>
        <v>1.04</v>
      </c>
      <c r="N862" s="1497"/>
      <c r="O862" s="1440">
        <f t="shared" si="123"/>
        <v>1.04</v>
      </c>
      <c r="P862" s="23"/>
      <c r="Q862" s="53"/>
      <c r="R862" s="2516"/>
      <c r="S862" s="2516"/>
      <c r="T862" s="2516"/>
      <c r="U862" s="2516"/>
      <c r="V862" s="2516"/>
      <c r="W862" s="2523">
        <f t="shared" si="118"/>
        <v>10440</v>
      </c>
      <c r="X862" s="2543">
        <v>8700</v>
      </c>
      <c r="Y862" s="2516"/>
      <c r="Z862" s="2516"/>
    </row>
    <row r="863" spans="1:26" s="9" customFormat="1" ht="18.75">
      <c r="A863" s="11">
        <v>9</v>
      </c>
      <c r="B863" s="67"/>
      <c r="C863" s="1532" t="s">
        <v>636</v>
      </c>
      <c r="D863" s="3"/>
      <c r="E863" s="3"/>
      <c r="F863" s="48"/>
      <c r="G863" s="48"/>
      <c r="H863" s="10"/>
      <c r="I863" s="1047" t="s">
        <v>573</v>
      </c>
      <c r="J863" s="1141">
        <v>96100</v>
      </c>
      <c r="K863" s="1358">
        <f aca="true" t="shared" si="124" ref="K863:K885">K270</f>
        <v>0.16</v>
      </c>
      <c r="L863" s="1348">
        <f t="shared" si="120"/>
        <v>96100.16</v>
      </c>
      <c r="M863" s="1486">
        <f t="shared" si="121"/>
        <v>9.61</v>
      </c>
      <c r="N863" s="1497">
        <f aca="true" t="shared" si="125" ref="N863:N885">N270</f>
        <v>0.16</v>
      </c>
      <c r="O863" s="1440">
        <f t="shared" si="123"/>
        <v>9.77</v>
      </c>
      <c r="P863" s="23"/>
      <c r="Q863" s="53"/>
      <c r="R863" s="2516"/>
      <c r="S863" s="2516"/>
      <c r="T863" s="2516"/>
      <c r="U863" s="2516"/>
      <c r="V863" s="2516"/>
      <c r="W863" s="2523">
        <f t="shared" si="118"/>
        <v>96120</v>
      </c>
      <c r="X863" s="2543">
        <v>80100</v>
      </c>
      <c r="Y863" s="2516"/>
      <c r="Z863" s="2516"/>
    </row>
    <row r="864" spans="1:26" s="9" customFormat="1" ht="18.75">
      <c r="A864" s="11">
        <v>10</v>
      </c>
      <c r="B864" s="67"/>
      <c r="C864" s="1532" t="s">
        <v>637</v>
      </c>
      <c r="D864" s="3"/>
      <c r="E864" s="3"/>
      <c r="F864" s="48"/>
      <c r="G864" s="48"/>
      <c r="H864" s="10"/>
      <c r="I864" s="1047" t="s">
        <v>573</v>
      </c>
      <c r="J864" s="1141">
        <v>144100</v>
      </c>
      <c r="K864" s="1358">
        <f t="shared" si="124"/>
        <v>1.9445662499999998</v>
      </c>
      <c r="L864" s="1348">
        <f t="shared" si="120"/>
        <v>144101.94456625</v>
      </c>
      <c r="M864" s="1486">
        <f t="shared" si="121"/>
        <v>14.41</v>
      </c>
      <c r="N864" s="1497">
        <f t="shared" si="125"/>
        <v>1.9445662499999998</v>
      </c>
      <c r="O864" s="1440">
        <f t="shared" si="123"/>
        <v>16.35456625</v>
      </c>
      <c r="P864" s="23"/>
      <c r="Q864" s="53"/>
      <c r="R864" s="2516"/>
      <c r="S864" s="2516"/>
      <c r="T864" s="2516"/>
      <c r="U864" s="2516"/>
      <c r="V864" s="2516"/>
      <c r="W864" s="2523">
        <f t="shared" si="118"/>
        <v>144120</v>
      </c>
      <c r="X864" s="2543">
        <v>120100</v>
      </c>
      <c r="Y864" s="2516"/>
      <c r="Z864" s="2516"/>
    </row>
    <row r="865" spans="1:26" s="9" customFormat="1" ht="18.75">
      <c r="A865" s="11">
        <v>11</v>
      </c>
      <c r="B865" s="67"/>
      <c r="C865" s="1532" t="s">
        <v>638</v>
      </c>
      <c r="D865" s="3"/>
      <c r="E865" s="3"/>
      <c r="F865" s="48"/>
      <c r="G865" s="48"/>
      <c r="H865" s="10"/>
      <c r="I865" s="1047" t="s">
        <v>573</v>
      </c>
      <c r="J865" s="1141">
        <v>96100</v>
      </c>
      <c r="K865" s="1358">
        <f t="shared" si="124"/>
        <v>5.123854400000001</v>
      </c>
      <c r="L865" s="1348">
        <f t="shared" si="120"/>
        <v>96105.1238544</v>
      </c>
      <c r="M865" s="1486">
        <f t="shared" si="121"/>
        <v>9.61</v>
      </c>
      <c r="N865" s="1497">
        <f t="shared" si="125"/>
        <v>5.123854400000001</v>
      </c>
      <c r="O865" s="1440">
        <f t="shared" si="123"/>
        <v>14.7338544</v>
      </c>
      <c r="P865" s="23"/>
      <c r="Q865" s="53"/>
      <c r="R865" s="2516"/>
      <c r="S865" s="2516"/>
      <c r="T865" s="2516"/>
      <c r="U865" s="2516"/>
      <c r="V865" s="2516"/>
      <c r="W865" s="2523">
        <f t="shared" si="118"/>
        <v>96120</v>
      </c>
      <c r="X865" s="2543">
        <v>80100</v>
      </c>
      <c r="Y865" s="2516"/>
      <c r="Z865" s="2516"/>
    </row>
    <row r="866" spans="1:26" s="9" customFormat="1" ht="18.75">
      <c r="A866" s="11">
        <v>12</v>
      </c>
      <c r="B866" s="67"/>
      <c r="C866" s="1532" t="s">
        <v>639</v>
      </c>
      <c r="D866" s="3"/>
      <c r="E866" s="3"/>
      <c r="F866" s="48"/>
      <c r="G866" s="48"/>
      <c r="H866" s="10"/>
      <c r="I866" s="1047" t="s">
        <v>573</v>
      </c>
      <c r="J866" s="1141">
        <v>192200</v>
      </c>
      <c r="K866" s="1358">
        <f t="shared" si="124"/>
        <v>6.2153896</v>
      </c>
      <c r="L866" s="1348">
        <f t="shared" si="120"/>
        <v>192206.2153896</v>
      </c>
      <c r="M866" s="1486">
        <f t="shared" si="121"/>
        <v>19.22</v>
      </c>
      <c r="N866" s="1497">
        <f t="shared" si="125"/>
        <v>6.2153896</v>
      </c>
      <c r="O866" s="1440">
        <f t="shared" si="123"/>
        <v>25.4353896</v>
      </c>
      <c r="P866" s="23"/>
      <c r="Q866" s="53"/>
      <c r="R866" s="2516"/>
      <c r="S866" s="2516"/>
      <c r="T866" s="2516"/>
      <c r="U866" s="2516"/>
      <c r="V866" s="2516"/>
      <c r="W866" s="2523">
        <f t="shared" si="118"/>
        <v>192240</v>
      </c>
      <c r="X866" s="2543">
        <v>160200</v>
      </c>
      <c r="Y866" s="2516"/>
      <c r="Z866" s="2516"/>
    </row>
    <row r="867" spans="1:26" s="9" customFormat="1" ht="18.75">
      <c r="A867" s="11">
        <v>12</v>
      </c>
      <c r="B867" s="67"/>
      <c r="C867" s="1532" t="s">
        <v>640</v>
      </c>
      <c r="D867" s="3"/>
      <c r="E867" s="3"/>
      <c r="F867" s="48"/>
      <c r="G867" s="48" t="s">
        <v>626</v>
      </c>
      <c r="H867" s="10"/>
      <c r="I867" s="1047" t="s">
        <v>573</v>
      </c>
      <c r="J867" s="1141">
        <v>96100</v>
      </c>
      <c r="K867" s="1358">
        <f t="shared" si="124"/>
        <v>1.9518199999999999</v>
      </c>
      <c r="L867" s="1348">
        <f t="shared" si="120"/>
        <v>96101.95182</v>
      </c>
      <c r="M867" s="1486">
        <f t="shared" si="121"/>
        <v>9.61</v>
      </c>
      <c r="N867" s="1497">
        <f t="shared" si="125"/>
        <v>1.9518199999999999</v>
      </c>
      <c r="O867" s="1440">
        <f t="shared" si="123"/>
        <v>11.561819999999999</v>
      </c>
      <c r="P867" s="23"/>
      <c r="Q867" s="53"/>
      <c r="R867" s="2516"/>
      <c r="S867" s="2516"/>
      <c r="T867" s="2516"/>
      <c r="U867" s="2516"/>
      <c r="V867" s="2516"/>
      <c r="W867" s="2523">
        <f t="shared" si="118"/>
        <v>96120</v>
      </c>
      <c r="X867" s="2543">
        <v>80100</v>
      </c>
      <c r="Y867" s="2516"/>
      <c r="Z867" s="2516"/>
    </row>
    <row r="868" spans="1:26" s="9" customFormat="1" ht="18.75">
      <c r="A868" s="11"/>
      <c r="B868" s="67"/>
      <c r="C868" s="1532"/>
      <c r="D868" s="3"/>
      <c r="E868" s="3"/>
      <c r="F868" s="48"/>
      <c r="G868" s="48" t="s">
        <v>627</v>
      </c>
      <c r="H868" s="10"/>
      <c r="I868" s="1047" t="s">
        <v>573</v>
      </c>
      <c r="J868" s="1141">
        <v>144100</v>
      </c>
      <c r="K868" s="1358">
        <f t="shared" si="124"/>
        <v>1.9518199999999999</v>
      </c>
      <c r="L868" s="1348">
        <f t="shared" si="120"/>
        <v>144101.95182</v>
      </c>
      <c r="M868" s="1486">
        <f t="shared" si="121"/>
        <v>14.41</v>
      </c>
      <c r="N868" s="1497">
        <f t="shared" si="125"/>
        <v>1.9518199999999999</v>
      </c>
      <c r="O868" s="1440">
        <f t="shared" si="123"/>
        <v>16.36182</v>
      </c>
      <c r="P868" s="23"/>
      <c r="Q868" s="53"/>
      <c r="R868" s="2516"/>
      <c r="S868" s="2516"/>
      <c r="T868" s="2516"/>
      <c r="U868" s="2516"/>
      <c r="V868" s="2516"/>
      <c r="W868" s="2523">
        <f t="shared" si="118"/>
        <v>144120</v>
      </c>
      <c r="X868" s="2543">
        <v>120100</v>
      </c>
      <c r="Y868" s="2516"/>
      <c r="Z868" s="2516"/>
    </row>
    <row r="869" spans="1:26" s="9" customFormat="1" ht="18.75">
      <c r="A869" s="11">
        <v>13</v>
      </c>
      <c r="B869" s="67"/>
      <c r="C869" s="1532" t="s">
        <v>641</v>
      </c>
      <c r="D869" s="3"/>
      <c r="E869" s="3"/>
      <c r="F869" s="48"/>
      <c r="G869" s="48" t="s">
        <v>626</v>
      </c>
      <c r="H869" s="10"/>
      <c r="I869" s="1047" t="s">
        <v>573</v>
      </c>
      <c r="J869" s="1141">
        <v>96100</v>
      </c>
      <c r="K869" s="1358">
        <f t="shared" si="124"/>
        <v>1.195892</v>
      </c>
      <c r="L869" s="1348">
        <f t="shared" si="120"/>
        <v>96101.195892</v>
      </c>
      <c r="M869" s="1486">
        <f t="shared" si="121"/>
        <v>9.61</v>
      </c>
      <c r="N869" s="1497">
        <f t="shared" si="125"/>
        <v>1.195892</v>
      </c>
      <c r="O869" s="1440">
        <f t="shared" si="123"/>
        <v>10.805892</v>
      </c>
      <c r="P869" s="23"/>
      <c r="Q869" s="53"/>
      <c r="R869" s="2516"/>
      <c r="S869" s="2516"/>
      <c r="T869" s="2516"/>
      <c r="U869" s="2516"/>
      <c r="V869" s="2516"/>
      <c r="W869" s="2523">
        <f t="shared" si="118"/>
        <v>96120</v>
      </c>
      <c r="X869" s="2543">
        <v>80100</v>
      </c>
      <c r="Y869" s="2516"/>
      <c r="Z869" s="2516"/>
    </row>
    <row r="870" spans="1:26" s="9" customFormat="1" ht="18.75">
      <c r="A870" s="11"/>
      <c r="B870" s="67"/>
      <c r="C870" s="1532"/>
      <c r="D870" s="3"/>
      <c r="E870" s="3"/>
      <c r="F870" s="48"/>
      <c r="G870" s="48" t="s">
        <v>627</v>
      </c>
      <c r="H870" s="10"/>
      <c r="I870" s="1047" t="s">
        <v>573</v>
      </c>
      <c r="J870" s="1141">
        <v>144100</v>
      </c>
      <c r="K870" s="1358">
        <f t="shared" si="124"/>
        <v>2.2317839999999998</v>
      </c>
      <c r="L870" s="1348">
        <f>SUM(J870:K870)</f>
        <v>144102.231784</v>
      </c>
      <c r="M870" s="1486">
        <f t="shared" si="121"/>
        <v>14.41</v>
      </c>
      <c r="N870" s="1497">
        <f t="shared" si="125"/>
        <v>2.2317839999999998</v>
      </c>
      <c r="O870" s="1440">
        <f>SUM(M870:N870)</f>
        <v>16.641784</v>
      </c>
      <c r="P870" s="23"/>
      <c r="Q870" s="53"/>
      <c r="R870" s="2516"/>
      <c r="S870" s="2516"/>
      <c r="T870" s="2516"/>
      <c r="U870" s="2516"/>
      <c r="V870" s="2516"/>
      <c r="W870" s="2523">
        <f t="shared" si="118"/>
        <v>144120</v>
      </c>
      <c r="X870" s="2543">
        <v>120100</v>
      </c>
      <c r="Y870" s="2516"/>
      <c r="Z870" s="2516"/>
    </row>
    <row r="871" spans="1:26" s="9" customFormat="1" ht="18.75">
      <c r="A871" s="11">
        <v>14</v>
      </c>
      <c r="B871" s="67"/>
      <c r="C871" s="1532" t="s">
        <v>642</v>
      </c>
      <c r="D871" s="3"/>
      <c r="E871" s="3"/>
      <c r="F871" s="48"/>
      <c r="G871" s="48" t="s">
        <v>626</v>
      </c>
      <c r="H871" s="10"/>
      <c r="I871" s="1047" t="s">
        <v>573</v>
      </c>
      <c r="J871" s="1141">
        <v>96100</v>
      </c>
      <c r="K871" s="1358">
        <f t="shared" si="124"/>
        <v>1.195892</v>
      </c>
      <c r="L871" s="1348">
        <f t="shared" si="120"/>
        <v>96101.195892</v>
      </c>
      <c r="M871" s="1486">
        <f t="shared" si="121"/>
        <v>9.61</v>
      </c>
      <c r="N871" s="1497">
        <f t="shared" si="125"/>
        <v>1.195892</v>
      </c>
      <c r="O871" s="1440">
        <f aca="true" t="shared" si="126" ref="O871:O883">SUM(M871:N871)</f>
        <v>10.805892</v>
      </c>
      <c r="P871" s="23"/>
      <c r="Q871" s="53"/>
      <c r="R871" s="2516"/>
      <c r="S871" s="2516"/>
      <c r="T871" s="2516"/>
      <c r="U871" s="2516"/>
      <c r="V871" s="2516"/>
      <c r="W871" s="2523">
        <f t="shared" si="118"/>
        <v>96120</v>
      </c>
      <c r="X871" s="2543">
        <v>80100</v>
      </c>
      <c r="Y871" s="2516"/>
      <c r="Z871" s="2516"/>
    </row>
    <row r="872" spans="1:26" s="9" customFormat="1" ht="18.75">
      <c r="A872" s="11"/>
      <c r="B872" s="67"/>
      <c r="C872" s="1532"/>
      <c r="D872" s="3"/>
      <c r="E872" s="3"/>
      <c r="F872" s="48"/>
      <c r="G872" s="48" t="s">
        <v>627</v>
      </c>
      <c r="H872" s="10"/>
      <c r="I872" s="1047" t="s">
        <v>573</v>
      </c>
      <c r="J872" s="1141">
        <v>144100</v>
      </c>
      <c r="K872" s="1358">
        <f t="shared" si="124"/>
        <v>2.2317839999999998</v>
      </c>
      <c r="L872" s="1348">
        <f t="shared" si="120"/>
        <v>144102.231784</v>
      </c>
      <c r="M872" s="1486">
        <f t="shared" si="121"/>
        <v>14.41</v>
      </c>
      <c r="N872" s="1497">
        <f t="shared" si="125"/>
        <v>2.2317839999999998</v>
      </c>
      <c r="O872" s="1440">
        <f t="shared" si="126"/>
        <v>16.641784</v>
      </c>
      <c r="P872" s="23"/>
      <c r="Q872" s="53"/>
      <c r="R872" s="2516"/>
      <c r="S872" s="2516"/>
      <c r="T872" s="2516"/>
      <c r="U872" s="2516"/>
      <c r="V872" s="2516"/>
      <c r="W872" s="2523">
        <f t="shared" si="118"/>
        <v>144120</v>
      </c>
      <c r="X872" s="2543">
        <v>120100</v>
      </c>
      <c r="Y872" s="2516"/>
      <c r="Z872" s="2516"/>
    </row>
    <row r="873" spans="1:26" s="9" customFormat="1" ht="18.75">
      <c r="A873" s="11">
        <v>15</v>
      </c>
      <c r="B873" s="67"/>
      <c r="C873" s="1532" t="s">
        <v>643</v>
      </c>
      <c r="D873" s="3"/>
      <c r="E873" s="3"/>
      <c r="F873" s="48"/>
      <c r="G873" s="48"/>
      <c r="H873" s="10"/>
      <c r="I873" s="1047" t="s">
        <v>573</v>
      </c>
      <c r="J873" s="1141">
        <v>96100</v>
      </c>
      <c r="K873" s="1358">
        <f t="shared" si="124"/>
        <v>0.5086649</v>
      </c>
      <c r="L873" s="1348">
        <f t="shared" si="120"/>
        <v>96100.5086649</v>
      </c>
      <c r="M873" s="1486">
        <f t="shared" si="121"/>
        <v>9.61</v>
      </c>
      <c r="N873" s="1497">
        <f t="shared" si="125"/>
        <v>0.5086649</v>
      </c>
      <c r="O873" s="1440">
        <f t="shared" si="126"/>
        <v>10.118664899999999</v>
      </c>
      <c r="P873" s="23"/>
      <c r="Q873" s="53"/>
      <c r="R873" s="2516"/>
      <c r="S873" s="2516"/>
      <c r="T873" s="2516"/>
      <c r="U873" s="2516"/>
      <c r="V873" s="2516"/>
      <c r="W873" s="2523">
        <f t="shared" si="118"/>
        <v>96120</v>
      </c>
      <c r="X873" s="2543">
        <v>80100</v>
      </c>
      <c r="Y873" s="2516"/>
      <c r="Z873" s="2516"/>
    </row>
    <row r="874" spans="1:26" s="9" customFormat="1" ht="18.75">
      <c r="A874" s="11">
        <v>16</v>
      </c>
      <c r="B874" s="67"/>
      <c r="C874" s="1532" t="s">
        <v>644</v>
      </c>
      <c r="D874" s="3"/>
      <c r="E874" s="3"/>
      <c r="F874" s="48"/>
      <c r="G874" s="48"/>
      <c r="H874" s="10"/>
      <c r="I874" s="1047" t="s">
        <v>573</v>
      </c>
      <c r="J874" s="1141">
        <v>144100</v>
      </c>
      <c r="K874" s="1358">
        <f t="shared" si="124"/>
        <v>0.8245352</v>
      </c>
      <c r="L874" s="1348">
        <f t="shared" si="120"/>
        <v>144100.8245352</v>
      </c>
      <c r="M874" s="1486">
        <f t="shared" si="121"/>
        <v>14.41</v>
      </c>
      <c r="N874" s="1497">
        <f t="shared" si="125"/>
        <v>0.8245352</v>
      </c>
      <c r="O874" s="1440">
        <f t="shared" si="126"/>
        <v>15.2345352</v>
      </c>
      <c r="P874" s="23"/>
      <c r="Q874" s="53"/>
      <c r="R874" s="2516"/>
      <c r="S874" s="2516"/>
      <c r="T874" s="2516"/>
      <c r="U874" s="2516"/>
      <c r="V874" s="2516"/>
      <c r="W874" s="2523">
        <f t="shared" si="118"/>
        <v>144120</v>
      </c>
      <c r="X874" s="2543">
        <v>120100</v>
      </c>
      <c r="Y874" s="2516"/>
      <c r="Z874" s="2516"/>
    </row>
    <row r="875" spans="1:26" s="9" customFormat="1" ht="18.75">
      <c r="A875" s="11">
        <v>17</v>
      </c>
      <c r="B875" s="67"/>
      <c r="C875" s="1532" t="s">
        <v>645</v>
      </c>
      <c r="D875" s="3"/>
      <c r="E875" s="3"/>
      <c r="F875" s="48"/>
      <c r="G875" s="48"/>
      <c r="H875" s="10"/>
      <c r="I875" s="1047" t="s">
        <v>573</v>
      </c>
      <c r="J875" s="1141">
        <v>144100</v>
      </c>
      <c r="K875" s="1358">
        <f t="shared" si="124"/>
        <v>0.8245352</v>
      </c>
      <c r="L875" s="1348">
        <f t="shared" si="120"/>
        <v>144100.8245352</v>
      </c>
      <c r="M875" s="1486">
        <f t="shared" si="121"/>
        <v>14.41</v>
      </c>
      <c r="N875" s="1497">
        <f t="shared" si="125"/>
        <v>0.8245352</v>
      </c>
      <c r="O875" s="1440">
        <f t="shared" si="126"/>
        <v>15.2345352</v>
      </c>
      <c r="P875" s="23"/>
      <c r="Q875" s="53"/>
      <c r="R875" s="2516"/>
      <c r="S875" s="2516"/>
      <c r="T875" s="2516"/>
      <c r="U875" s="2516"/>
      <c r="V875" s="2516"/>
      <c r="W875" s="2523">
        <f t="shared" si="118"/>
        <v>144120</v>
      </c>
      <c r="X875" s="2543">
        <v>120100</v>
      </c>
      <c r="Y875" s="2516"/>
      <c r="Z875" s="2516"/>
    </row>
    <row r="876" spans="1:26" s="9" customFormat="1" ht="18.75">
      <c r="A876" s="11">
        <v>18</v>
      </c>
      <c r="B876" s="67"/>
      <c r="C876" s="1532" t="s">
        <v>646</v>
      </c>
      <c r="D876" s="3"/>
      <c r="E876" s="3"/>
      <c r="F876" s="48"/>
      <c r="G876" s="48"/>
      <c r="H876" s="10"/>
      <c r="I876" s="1047" t="s">
        <v>573</v>
      </c>
      <c r="J876" s="1141">
        <v>96100</v>
      </c>
      <c r="K876" s="1358">
        <f t="shared" si="124"/>
        <v>0.5086649</v>
      </c>
      <c r="L876" s="1348">
        <f t="shared" si="120"/>
        <v>96100.5086649</v>
      </c>
      <c r="M876" s="1486">
        <f t="shared" si="121"/>
        <v>9.61</v>
      </c>
      <c r="N876" s="1497">
        <f t="shared" si="125"/>
        <v>0.5086649</v>
      </c>
      <c r="O876" s="1440">
        <f t="shared" si="126"/>
        <v>10.118664899999999</v>
      </c>
      <c r="P876" s="23"/>
      <c r="Q876" s="53"/>
      <c r="R876" s="2516"/>
      <c r="S876" s="2516"/>
      <c r="T876" s="2516"/>
      <c r="U876" s="2516"/>
      <c r="V876" s="2516"/>
      <c r="W876" s="2523">
        <f t="shared" si="118"/>
        <v>96120</v>
      </c>
      <c r="X876" s="2543">
        <v>80100</v>
      </c>
      <c r="Y876" s="2516"/>
      <c r="Z876" s="2516"/>
    </row>
    <row r="877" spans="1:26" s="9" customFormat="1" ht="18.75">
      <c r="A877" s="11">
        <v>19</v>
      </c>
      <c r="B877" s="67"/>
      <c r="C877" s="1532" t="s">
        <v>647</v>
      </c>
      <c r="D877" s="3"/>
      <c r="E877" s="3"/>
      <c r="F877" s="48"/>
      <c r="G877" s="48"/>
      <c r="H877" s="10"/>
      <c r="I877" s="1047" t="s">
        <v>573</v>
      </c>
      <c r="J877" s="1141">
        <v>144100</v>
      </c>
      <c r="K877" s="1358">
        <f t="shared" si="124"/>
        <v>0.8245352</v>
      </c>
      <c r="L877" s="1348">
        <f t="shared" si="120"/>
        <v>144100.8245352</v>
      </c>
      <c r="M877" s="1486">
        <f t="shared" si="121"/>
        <v>14.41</v>
      </c>
      <c r="N877" s="1497">
        <f t="shared" si="125"/>
        <v>0.8245352</v>
      </c>
      <c r="O877" s="1440">
        <f t="shared" si="126"/>
        <v>15.2345352</v>
      </c>
      <c r="P877" s="23"/>
      <c r="Q877" s="53"/>
      <c r="R877" s="2516"/>
      <c r="S877" s="2516"/>
      <c r="T877" s="2516"/>
      <c r="U877" s="2516"/>
      <c r="V877" s="2516"/>
      <c r="W877" s="2523">
        <f t="shared" si="118"/>
        <v>144120</v>
      </c>
      <c r="X877" s="2543">
        <v>120100</v>
      </c>
      <c r="Y877" s="2516"/>
      <c r="Z877" s="2516"/>
    </row>
    <row r="878" spans="1:26" s="9" customFormat="1" ht="18.75">
      <c r="A878" s="11">
        <v>20</v>
      </c>
      <c r="B878" s="67"/>
      <c r="C878" s="1532" t="s">
        <v>648</v>
      </c>
      <c r="D878" s="3"/>
      <c r="E878" s="3"/>
      <c r="F878" s="48"/>
      <c r="G878" s="48"/>
      <c r="H878" s="10"/>
      <c r="I878" s="1047" t="s">
        <v>573</v>
      </c>
      <c r="J878" s="1141">
        <v>96100</v>
      </c>
      <c r="K878" s="1358">
        <f t="shared" si="124"/>
        <v>0.8245352</v>
      </c>
      <c r="L878" s="1348">
        <f t="shared" si="120"/>
        <v>96100.8245352</v>
      </c>
      <c r="M878" s="1486">
        <f t="shared" si="121"/>
        <v>9.61</v>
      </c>
      <c r="N878" s="1497">
        <f t="shared" si="125"/>
        <v>0.8245352</v>
      </c>
      <c r="O878" s="1440">
        <f t="shared" si="126"/>
        <v>10.4345352</v>
      </c>
      <c r="P878" s="23"/>
      <c r="Q878" s="53"/>
      <c r="R878" s="2516"/>
      <c r="S878" s="2516"/>
      <c r="T878" s="2516"/>
      <c r="U878" s="2516"/>
      <c r="V878" s="2516"/>
      <c r="W878" s="2523">
        <f t="shared" si="118"/>
        <v>96120</v>
      </c>
      <c r="X878" s="2543">
        <v>80100</v>
      </c>
      <c r="Y878" s="2516"/>
      <c r="Z878" s="2516"/>
    </row>
    <row r="879" spans="1:26" s="9" customFormat="1" ht="18.75">
      <c r="A879" s="11">
        <v>21</v>
      </c>
      <c r="B879" s="67"/>
      <c r="C879" s="1532" t="s">
        <v>649</v>
      </c>
      <c r="D879" s="3"/>
      <c r="E879" s="3"/>
      <c r="F879" s="48"/>
      <c r="G879" s="48"/>
      <c r="H879" s="10"/>
      <c r="I879" s="1047" t="s">
        <v>573</v>
      </c>
      <c r="J879" s="1141">
        <v>144100</v>
      </c>
      <c r="K879" s="1358">
        <f t="shared" si="124"/>
        <v>2.2317839999999998</v>
      </c>
      <c r="L879" s="1348">
        <f t="shared" si="120"/>
        <v>144102.231784</v>
      </c>
      <c r="M879" s="1486">
        <f t="shared" si="121"/>
        <v>14.41</v>
      </c>
      <c r="N879" s="1497">
        <f t="shared" si="125"/>
        <v>2.2317839999999998</v>
      </c>
      <c r="O879" s="1440">
        <f t="shared" si="126"/>
        <v>16.641784</v>
      </c>
      <c r="P879" s="23"/>
      <c r="Q879" s="53"/>
      <c r="R879" s="2516"/>
      <c r="S879" s="2516"/>
      <c r="T879" s="2516"/>
      <c r="U879" s="2516"/>
      <c r="V879" s="2516"/>
      <c r="W879" s="2523">
        <f t="shared" si="118"/>
        <v>144120</v>
      </c>
      <c r="X879" s="2543">
        <v>120100</v>
      </c>
      <c r="Y879" s="2516"/>
      <c r="Z879" s="2516"/>
    </row>
    <row r="880" spans="1:26" s="9" customFormat="1" ht="18.75">
      <c r="A880" s="11">
        <v>22</v>
      </c>
      <c r="B880" s="67"/>
      <c r="C880" s="1532" t="s">
        <v>650</v>
      </c>
      <c r="D880" s="3"/>
      <c r="E880" s="3"/>
      <c r="F880" s="48"/>
      <c r="G880" s="48"/>
      <c r="H880" s="10"/>
      <c r="I880" s="1047" t="s">
        <v>573</v>
      </c>
      <c r="J880" s="1141">
        <v>144100</v>
      </c>
      <c r="K880" s="1358">
        <f t="shared" si="124"/>
        <v>1.195892</v>
      </c>
      <c r="L880" s="1348">
        <f t="shared" si="120"/>
        <v>144101.195892</v>
      </c>
      <c r="M880" s="1486">
        <f t="shared" si="121"/>
        <v>14.41</v>
      </c>
      <c r="N880" s="1497">
        <f t="shared" si="125"/>
        <v>1.195892</v>
      </c>
      <c r="O880" s="1440">
        <f t="shared" si="126"/>
        <v>15.605892</v>
      </c>
      <c r="P880" s="23"/>
      <c r="Q880" s="53"/>
      <c r="R880" s="2516"/>
      <c r="S880" s="2516"/>
      <c r="T880" s="2516"/>
      <c r="U880" s="2516"/>
      <c r="V880" s="2516"/>
      <c r="W880" s="2523">
        <f t="shared" si="118"/>
        <v>144120</v>
      </c>
      <c r="X880" s="2543">
        <v>120100</v>
      </c>
      <c r="Y880" s="2516"/>
      <c r="Z880" s="2516"/>
    </row>
    <row r="881" spans="1:26" s="9" customFormat="1" ht="18.75">
      <c r="A881" s="11">
        <v>23</v>
      </c>
      <c r="B881" s="67"/>
      <c r="C881" s="1532" t="s">
        <v>651</v>
      </c>
      <c r="D881" s="3"/>
      <c r="E881" s="3"/>
      <c r="F881" s="48"/>
      <c r="G881" s="48"/>
      <c r="H881" s="10"/>
      <c r="I881" s="1047" t="s">
        <v>573</v>
      </c>
      <c r="J881" s="1141">
        <v>240200</v>
      </c>
      <c r="K881" s="1358">
        <f t="shared" si="124"/>
        <v>2.2317839999999998</v>
      </c>
      <c r="L881" s="1348">
        <f t="shared" si="120"/>
        <v>240202.231784</v>
      </c>
      <c r="M881" s="1486">
        <f t="shared" si="121"/>
        <v>24.02</v>
      </c>
      <c r="N881" s="1497">
        <f t="shared" si="125"/>
        <v>2.2317839999999998</v>
      </c>
      <c r="O881" s="1440">
        <f t="shared" si="126"/>
        <v>26.251784</v>
      </c>
      <c r="P881" s="23"/>
      <c r="Q881" s="53"/>
      <c r="R881" s="2516"/>
      <c r="S881" s="2516"/>
      <c r="T881" s="2516"/>
      <c r="U881" s="2516"/>
      <c r="V881" s="2516"/>
      <c r="W881" s="2523">
        <f t="shared" si="118"/>
        <v>240240</v>
      </c>
      <c r="X881" s="2543">
        <v>200200</v>
      </c>
      <c r="Y881" s="2516"/>
      <c r="Z881" s="2516"/>
    </row>
    <row r="882" spans="1:26" s="9" customFormat="1" ht="18.75">
      <c r="A882" s="11">
        <v>24</v>
      </c>
      <c r="B882" s="67"/>
      <c r="C882" s="1532" t="s">
        <v>652</v>
      </c>
      <c r="D882" s="3"/>
      <c r="E882" s="3"/>
      <c r="F882" s="48"/>
      <c r="G882" s="48"/>
      <c r="H882" s="10"/>
      <c r="I882" s="1047" t="s">
        <v>573</v>
      </c>
      <c r="J882" s="1141">
        <v>192200</v>
      </c>
      <c r="K882" s="1358">
        <f t="shared" si="124"/>
        <v>2.1536055999999997</v>
      </c>
      <c r="L882" s="1348">
        <f t="shared" si="120"/>
        <v>192202.1536056</v>
      </c>
      <c r="M882" s="1486">
        <f t="shared" si="121"/>
        <v>19.22</v>
      </c>
      <c r="N882" s="1497">
        <f t="shared" si="125"/>
        <v>2.1536055999999997</v>
      </c>
      <c r="O882" s="1440">
        <f t="shared" si="126"/>
        <v>21.373605599999998</v>
      </c>
      <c r="P882" s="23"/>
      <c r="Q882" s="53"/>
      <c r="R882" s="2516"/>
      <c r="S882" s="2516"/>
      <c r="T882" s="2516"/>
      <c r="U882" s="2516"/>
      <c r="V882" s="2516"/>
      <c r="W882" s="2523">
        <f t="shared" si="118"/>
        <v>192240</v>
      </c>
      <c r="X882" s="2543">
        <v>160200</v>
      </c>
      <c r="Y882" s="2516"/>
      <c r="Z882" s="2516"/>
    </row>
    <row r="883" spans="1:26" s="9" customFormat="1" ht="18.75">
      <c r="A883" s="11">
        <v>25</v>
      </c>
      <c r="B883" s="67"/>
      <c r="C883" s="1532" t="s">
        <v>653</v>
      </c>
      <c r="D883" s="3"/>
      <c r="E883" s="3"/>
      <c r="F883" s="48"/>
      <c r="G883" s="48"/>
      <c r="H883" s="10"/>
      <c r="I883" s="1047" t="s">
        <v>573</v>
      </c>
      <c r="J883" s="1141">
        <v>96100</v>
      </c>
      <c r="K883" s="1358">
        <f t="shared" si="124"/>
        <v>1.9518199999999999</v>
      </c>
      <c r="L883" s="1348">
        <f t="shared" si="120"/>
        <v>96101.95182</v>
      </c>
      <c r="M883" s="1486">
        <f t="shared" si="121"/>
        <v>9.61</v>
      </c>
      <c r="N883" s="1497">
        <f t="shared" si="125"/>
        <v>1.9518199999999999</v>
      </c>
      <c r="O883" s="1440">
        <f t="shared" si="126"/>
        <v>11.561819999999999</v>
      </c>
      <c r="P883" s="23"/>
      <c r="Q883" s="53"/>
      <c r="R883" s="2516"/>
      <c r="S883" s="2516"/>
      <c r="T883" s="2516"/>
      <c r="U883" s="2516"/>
      <c r="V883" s="2516"/>
      <c r="W883" s="2523">
        <f t="shared" si="118"/>
        <v>96120</v>
      </c>
      <c r="X883" s="2543">
        <v>80100</v>
      </c>
      <c r="Y883" s="2516"/>
      <c r="Z883" s="2516"/>
    </row>
    <row r="884" spans="1:26" s="9" customFormat="1" ht="18.75">
      <c r="A884" s="11">
        <v>26</v>
      </c>
      <c r="B884" s="67"/>
      <c r="C884" s="1532" t="s">
        <v>654</v>
      </c>
      <c r="D884" s="3"/>
      <c r="E884" s="3"/>
      <c r="F884" s="48"/>
      <c r="G884" s="48"/>
      <c r="H884" s="10"/>
      <c r="I884" s="1047" t="s">
        <v>573</v>
      </c>
      <c r="J884" s="1141">
        <v>96100</v>
      </c>
      <c r="K884" s="1358">
        <f t="shared" si="124"/>
        <v>0.5086649</v>
      </c>
      <c r="L884" s="1348">
        <f>SUM(J884:K884)</f>
        <v>96100.5086649</v>
      </c>
      <c r="M884" s="1486">
        <f t="shared" si="121"/>
        <v>9.61</v>
      </c>
      <c r="N884" s="1497">
        <f t="shared" si="125"/>
        <v>0.5086649</v>
      </c>
      <c r="O884" s="1440">
        <f>SUM(M884:N884)</f>
        <v>10.118664899999999</v>
      </c>
      <c r="P884" s="23"/>
      <c r="Q884" s="53"/>
      <c r="R884" s="2516"/>
      <c r="S884" s="2516"/>
      <c r="T884" s="2516"/>
      <c r="U884" s="2516"/>
      <c r="V884" s="2516"/>
      <c r="W884" s="2523">
        <f t="shared" si="118"/>
        <v>96120</v>
      </c>
      <c r="X884" s="2543">
        <v>80100</v>
      </c>
      <c r="Y884" s="2516"/>
      <c r="Z884" s="2516"/>
    </row>
    <row r="885" spans="1:26" s="9" customFormat="1" ht="18.75">
      <c r="A885" s="11">
        <v>27</v>
      </c>
      <c r="B885" s="67"/>
      <c r="C885" s="1532" t="s">
        <v>655</v>
      </c>
      <c r="D885" s="3"/>
      <c r="E885" s="3"/>
      <c r="F885" s="48"/>
      <c r="G885" s="48"/>
      <c r="H885" s="10"/>
      <c r="I885" s="1047" t="s">
        <v>573</v>
      </c>
      <c r="J885" s="1141">
        <v>48000</v>
      </c>
      <c r="K885" s="1358">
        <f t="shared" si="124"/>
        <v>1.8076599500000001</v>
      </c>
      <c r="L885" s="1348">
        <f t="shared" si="120"/>
        <v>48001.80765995</v>
      </c>
      <c r="M885" s="1486">
        <f t="shared" si="121"/>
        <v>4.8</v>
      </c>
      <c r="N885" s="1497">
        <f t="shared" si="125"/>
        <v>1.8076599500000001</v>
      </c>
      <c r="O885" s="1440">
        <f>SUM(M885:N885)</f>
        <v>6.60765995</v>
      </c>
      <c r="P885" s="23"/>
      <c r="Q885" s="53"/>
      <c r="R885" s="2516"/>
      <c r="S885" s="2516"/>
      <c r="T885" s="2516"/>
      <c r="U885" s="2516"/>
      <c r="V885" s="2516"/>
      <c r="W885" s="2523">
        <f t="shared" si="118"/>
        <v>48000</v>
      </c>
      <c r="X885" s="2543">
        <v>40000</v>
      </c>
      <c r="Y885" s="2516"/>
      <c r="Z885" s="2516"/>
    </row>
    <row r="886" spans="1:26" s="9" customFormat="1" ht="18.75">
      <c r="A886" s="11">
        <v>28</v>
      </c>
      <c r="B886" s="67"/>
      <c r="C886" s="1532" t="s">
        <v>656</v>
      </c>
      <c r="D886" s="3"/>
      <c r="E886" s="3"/>
      <c r="F886" s="48"/>
      <c r="G886" s="48"/>
      <c r="H886" s="10"/>
      <c r="I886" s="1047" t="s">
        <v>573</v>
      </c>
      <c r="J886" s="1141">
        <v>192200</v>
      </c>
      <c r="K886" s="1358"/>
      <c r="L886" s="1348">
        <f t="shared" si="120"/>
        <v>192200</v>
      </c>
      <c r="M886" s="1486">
        <f t="shared" si="121"/>
        <v>19.22</v>
      </c>
      <c r="N886" s="1497"/>
      <c r="O886" s="1440">
        <f>SUM(M886:N886)</f>
        <v>19.22</v>
      </c>
      <c r="P886" s="23"/>
      <c r="Q886" s="53"/>
      <c r="R886" s="2516"/>
      <c r="S886" s="2516"/>
      <c r="T886" s="2516"/>
      <c r="U886" s="2516"/>
      <c r="V886" s="2516"/>
      <c r="W886" s="2523">
        <f t="shared" si="118"/>
        <v>192240</v>
      </c>
      <c r="X886" s="2543">
        <v>160200</v>
      </c>
      <c r="Y886" s="2516"/>
      <c r="Z886" s="2516"/>
    </row>
    <row r="887" spans="1:26" s="9" customFormat="1" ht="18">
      <c r="A887" s="68"/>
      <c r="B887" s="67"/>
      <c r="C887" s="1532" t="s">
        <v>657</v>
      </c>
      <c r="D887" s="3"/>
      <c r="E887" s="3"/>
      <c r="F887" s="48"/>
      <c r="G887" s="48"/>
      <c r="H887" s="10"/>
      <c r="I887" s="1047"/>
      <c r="J887" s="1141"/>
      <c r="K887" s="1358"/>
      <c r="L887" s="1326"/>
      <c r="M887" s="1462"/>
      <c r="N887" s="1497"/>
      <c r="O887" s="1442"/>
      <c r="P887" s="23"/>
      <c r="Q887" s="53"/>
      <c r="R887" s="2516"/>
      <c r="S887" s="2516"/>
      <c r="T887" s="2516"/>
      <c r="U887" s="2516"/>
      <c r="V887" s="2516"/>
      <c r="W887" s="2523">
        <f aca="true" t="shared" si="127" ref="W887:W950">X887*1.2</f>
        <v>0</v>
      </c>
      <c r="X887" s="2543"/>
      <c r="Y887" s="2516"/>
      <c r="Z887" s="2516"/>
    </row>
    <row r="888" spans="1:26" s="9" customFormat="1" ht="18">
      <c r="A888" s="68"/>
      <c r="B888" s="67"/>
      <c r="C888" s="1532"/>
      <c r="D888" s="3"/>
      <c r="E888" s="3"/>
      <c r="F888" s="48"/>
      <c r="G888" s="48"/>
      <c r="H888" s="10"/>
      <c r="I888" s="1047"/>
      <c r="J888" s="1141"/>
      <c r="K888" s="1358"/>
      <c r="L888" s="1326"/>
      <c r="M888" s="1462"/>
      <c r="N888" s="1497"/>
      <c r="O888" s="1442"/>
      <c r="P888" s="23"/>
      <c r="Q888" s="53"/>
      <c r="R888" s="2516"/>
      <c r="S888" s="2516"/>
      <c r="T888" s="2516"/>
      <c r="U888" s="2516"/>
      <c r="V888" s="2516"/>
      <c r="W888" s="2523">
        <f t="shared" si="127"/>
        <v>0</v>
      </c>
      <c r="X888" s="2543"/>
      <c r="Y888" s="2516"/>
      <c r="Z888" s="2516"/>
    </row>
    <row r="889" spans="1:26" s="9" customFormat="1" ht="18">
      <c r="A889" s="68"/>
      <c r="B889" s="66" t="s">
        <v>622</v>
      </c>
      <c r="C889" s="500" t="s">
        <v>658</v>
      </c>
      <c r="D889" s="3"/>
      <c r="E889" s="3"/>
      <c r="F889" s="48"/>
      <c r="G889" s="48"/>
      <c r="H889" s="10"/>
      <c r="I889" s="1047"/>
      <c r="J889" s="1141"/>
      <c r="K889" s="1358"/>
      <c r="L889" s="1326"/>
      <c r="M889" s="1462"/>
      <c r="N889" s="1497"/>
      <c r="O889" s="1442"/>
      <c r="P889" s="23"/>
      <c r="Q889" s="53"/>
      <c r="R889" s="2516"/>
      <c r="S889" s="2516"/>
      <c r="T889" s="2516"/>
      <c r="U889" s="2516"/>
      <c r="V889" s="2516"/>
      <c r="W889" s="2523">
        <f t="shared" si="127"/>
        <v>0</v>
      </c>
      <c r="X889" s="2543"/>
      <c r="Y889" s="2516"/>
      <c r="Z889" s="2516"/>
    </row>
    <row r="890" spans="1:26" s="9" customFormat="1" ht="18.75">
      <c r="A890" s="11">
        <v>1</v>
      </c>
      <c r="B890" s="67"/>
      <c r="C890" s="1532" t="s">
        <v>624</v>
      </c>
      <c r="D890" s="3"/>
      <c r="E890" s="3"/>
      <c r="F890" s="48"/>
      <c r="G890" s="48"/>
      <c r="H890" s="10"/>
      <c r="I890" s="1047" t="s">
        <v>573</v>
      </c>
      <c r="J890" s="1141">
        <f>J851</f>
        <v>96100</v>
      </c>
      <c r="K890" s="1358">
        <f aca="true" t="shared" si="128" ref="K890:K931">K297</f>
        <v>0.25</v>
      </c>
      <c r="L890" s="1348">
        <f aca="true" t="shared" si="129" ref="L890:L932">SUM(J890:K890)</f>
        <v>96100.25</v>
      </c>
      <c r="M890" s="1462">
        <f>M851</f>
        <v>9.61</v>
      </c>
      <c r="N890" s="1497">
        <f aca="true" t="shared" si="130" ref="N890:N931">N297</f>
        <v>0.25</v>
      </c>
      <c r="O890" s="1440">
        <f aca="true" t="shared" si="131" ref="O890:O932">SUM(M890:N890)</f>
        <v>9.86</v>
      </c>
      <c r="P890" s="23"/>
      <c r="Q890" s="53"/>
      <c r="R890" s="2516"/>
      <c r="S890" s="2516"/>
      <c r="T890" s="2516"/>
      <c r="U890" s="2516"/>
      <c r="V890" s="2516"/>
      <c r="W890" s="2523">
        <f t="shared" si="127"/>
        <v>96120</v>
      </c>
      <c r="X890" s="2543">
        <f>X851</f>
        <v>80100</v>
      </c>
      <c r="Y890" s="2516"/>
      <c r="Z890" s="2516"/>
    </row>
    <row r="891" spans="1:26" s="9" customFormat="1" ht="18.75">
      <c r="A891" s="11">
        <v>2</v>
      </c>
      <c r="B891" s="67"/>
      <c r="C891" s="1532" t="s">
        <v>625</v>
      </c>
      <c r="D891" s="3"/>
      <c r="E891" s="3"/>
      <c r="F891" s="48"/>
      <c r="G891" s="48" t="s">
        <v>626</v>
      </c>
      <c r="H891" s="10"/>
      <c r="I891" s="1047" t="s">
        <v>573</v>
      </c>
      <c r="J891" s="1141">
        <f aca="true" t="shared" si="132" ref="J891:J905">J852</f>
        <v>96100</v>
      </c>
      <c r="K891" s="1358">
        <f t="shared" si="128"/>
        <v>0.25</v>
      </c>
      <c r="L891" s="1348">
        <f t="shared" si="129"/>
        <v>96100.25</v>
      </c>
      <c r="M891" s="1462">
        <f aca="true" t="shared" si="133" ref="M891:M905">M852</f>
        <v>9.61</v>
      </c>
      <c r="N891" s="1497">
        <f t="shared" si="130"/>
        <v>0.25</v>
      </c>
      <c r="O891" s="1440">
        <f t="shared" si="131"/>
        <v>9.86</v>
      </c>
      <c r="P891" s="23"/>
      <c r="Q891" s="53"/>
      <c r="R891" s="2516"/>
      <c r="S891" s="2516"/>
      <c r="T891" s="2516"/>
      <c r="U891" s="2516"/>
      <c r="V891" s="2516"/>
      <c r="W891" s="2523">
        <f t="shared" si="127"/>
        <v>96120</v>
      </c>
      <c r="X891" s="2543">
        <f aca="true" t="shared" si="134" ref="X891:X905">X852</f>
        <v>80100</v>
      </c>
      <c r="Y891" s="2516"/>
      <c r="Z891" s="2516"/>
    </row>
    <row r="892" spans="1:26" s="9" customFormat="1" ht="18.75">
      <c r="A892" s="11"/>
      <c r="B892" s="67"/>
      <c r="C892" s="1532"/>
      <c r="D892" s="3"/>
      <c r="E892" s="3"/>
      <c r="F892" s="48"/>
      <c r="G892" s="48" t="s">
        <v>627</v>
      </c>
      <c r="H892" s="10"/>
      <c r="I892" s="1047" t="s">
        <v>573</v>
      </c>
      <c r="J892" s="1141">
        <f t="shared" si="132"/>
        <v>144100</v>
      </c>
      <c r="K892" s="1358">
        <f t="shared" si="128"/>
        <v>0.33999999999999997</v>
      </c>
      <c r="L892" s="1348">
        <f t="shared" si="129"/>
        <v>144100.34</v>
      </c>
      <c r="M892" s="1462">
        <f t="shared" si="133"/>
        <v>14.41</v>
      </c>
      <c r="N892" s="1497">
        <f t="shared" si="130"/>
        <v>0.33999999999999997</v>
      </c>
      <c r="O892" s="1440">
        <f t="shared" si="131"/>
        <v>14.75</v>
      </c>
      <c r="P892" s="23"/>
      <c r="Q892" s="53"/>
      <c r="R892" s="2516"/>
      <c r="S892" s="2516"/>
      <c r="T892" s="2516"/>
      <c r="U892" s="2516"/>
      <c r="V892" s="2516"/>
      <c r="W892" s="2523">
        <f t="shared" si="127"/>
        <v>144120</v>
      </c>
      <c r="X892" s="2543">
        <f t="shared" si="134"/>
        <v>120100</v>
      </c>
      <c r="Y892" s="2516"/>
      <c r="Z892" s="2516"/>
    </row>
    <row r="893" spans="1:26" s="9" customFormat="1" ht="18.75">
      <c r="A893" s="11">
        <v>3</v>
      </c>
      <c r="B893" s="67"/>
      <c r="C893" s="1532" t="s">
        <v>628</v>
      </c>
      <c r="D893" s="3"/>
      <c r="E893" s="3"/>
      <c r="F893" s="48"/>
      <c r="G893" s="48" t="s">
        <v>629</v>
      </c>
      <c r="H893" s="10"/>
      <c r="I893" s="1047" t="s">
        <v>573</v>
      </c>
      <c r="J893" s="1141">
        <f t="shared" si="132"/>
        <v>144100</v>
      </c>
      <c r="K893" s="1358">
        <f t="shared" si="128"/>
        <v>0.25</v>
      </c>
      <c r="L893" s="1348">
        <f t="shared" si="129"/>
        <v>144100.25</v>
      </c>
      <c r="M893" s="1462">
        <f t="shared" si="133"/>
        <v>14.41</v>
      </c>
      <c r="N893" s="1497">
        <f t="shared" si="130"/>
        <v>0.25</v>
      </c>
      <c r="O893" s="1440">
        <f t="shared" si="131"/>
        <v>14.66</v>
      </c>
      <c r="P893" s="23"/>
      <c r="Q893" s="53"/>
      <c r="R893" s="2516"/>
      <c r="S893" s="2516"/>
      <c r="T893" s="2516"/>
      <c r="U893" s="2516"/>
      <c r="V893" s="2516"/>
      <c r="W893" s="2523">
        <f t="shared" si="127"/>
        <v>144120</v>
      </c>
      <c r="X893" s="2543">
        <f t="shared" si="134"/>
        <v>120100</v>
      </c>
      <c r="Y893" s="2516"/>
      <c r="Z893" s="2516"/>
    </row>
    <row r="894" spans="1:26" s="9" customFormat="1" ht="18.75">
      <c r="A894" s="11"/>
      <c r="B894" s="67"/>
      <c r="C894" s="1532"/>
      <c r="D894" s="3"/>
      <c r="E894" s="3"/>
      <c r="F894" s="48"/>
      <c r="G894" s="48" t="s">
        <v>630</v>
      </c>
      <c r="H894" s="10"/>
      <c r="I894" s="1047" t="s">
        <v>573</v>
      </c>
      <c r="J894" s="1141">
        <f t="shared" si="132"/>
        <v>96100</v>
      </c>
      <c r="K894" s="1358">
        <f t="shared" si="128"/>
        <v>0.25</v>
      </c>
      <c r="L894" s="1348">
        <f t="shared" si="129"/>
        <v>96100.25</v>
      </c>
      <c r="M894" s="1462">
        <f t="shared" si="133"/>
        <v>9.61</v>
      </c>
      <c r="N894" s="1497">
        <f t="shared" si="130"/>
        <v>0.25</v>
      </c>
      <c r="O894" s="1440">
        <f t="shared" si="131"/>
        <v>9.86</v>
      </c>
      <c r="P894" s="23"/>
      <c r="Q894" s="53"/>
      <c r="R894" s="2516"/>
      <c r="S894" s="2516"/>
      <c r="T894" s="2516"/>
      <c r="U894" s="2516"/>
      <c r="V894" s="2516"/>
      <c r="W894" s="2523">
        <f t="shared" si="127"/>
        <v>96120</v>
      </c>
      <c r="X894" s="2543">
        <f t="shared" si="134"/>
        <v>80100</v>
      </c>
      <c r="Y894" s="2516"/>
      <c r="Z894" s="2516"/>
    </row>
    <row r="895" spans="1:26" s="9" customFormat="1" ht="18.75">
      <c r="A895" s="11">
        <v>4</v>
      </c>
      <c r="B895" s="67"/>
      <c r="C895" s="1532" t="s">
        <v>631</v>
      </c>
      <c r="D895" s="3"/>
      <c r="E895" s="3"/>
      <c r="F895" s="48"/>
      <c r="G895" s="48"/>
      <c r="H895" s="10"/>
      <c r="I895" s="1047" t="s">
        <v>573</v>
      </c>
      <c r="J895" s="1141">
        <f t="shared" si="132"/>
        <v>144100</v>
      </c>
      <c r="K895" s="1358">
        <f t="shared" si="128"/>
        <v>1.425</v>
      </c>
      <c r="L895" s="1348">
        <f t="shared" si="129"/>
        <v>144101.425</v>
      </c>
      <c r="M895" s="1462">
        <f t="shared" si="133"/>
        <v>14.41</v>
      </c>
      <c r="N895" s="1497">
        <f t="shared" si="130"/>
        <v>1.425</v>
      </c>
      <c r="O895" s="1440">
        <f t="shared" si="131"/>
        <v>15.835</v>
      </c>
      <c r="P895" s="23"/>
      <c r="Q895" s="53"/>
      <c r="R895" s="2516"/>
      <c r="S895" s="2516"/>
      <c r="T895" s="2516"/>
      <c r="U895" s="2516"/>
      <c r="V895" s="2516"/>
      <c r="W895" s="2523">
        <f t="shared" si="127"/>
        <v>144120</v>
      </c>
      <c r="X895" s="2543">
        <f t="shared" si="134"/>
        <v>120100</v>
      </c>
      <c r="Y895" s="2516"/>
      <c r="Z895" s="2516"/>
    </row>
    <row r="896" spans="1:26" s="9" customFormat="1" ht="18.75">
      <c r="A896" s="11">
        <v>5</v>
      </c>
      <c r="B896" s="67"/>
      <c r="C896" s="1532" t="s">
        <v>632</v>
      </c>
      <c r="D896" s="3"/>
      <c r="E896" s="3"/>
      <c r="F896" s="48"/>
      <c r="G896" s="48"/>
      <c r="H896" s="10"/>
      <c r="I896" s="1047" t="s">
        <v>573</v>
      </c>
      <c r="J896" s="1141">
        <f t="shared" si="132"/>
        <v>96100</v>
      </c>
      <c r="K896" s="1358">
        <f t="shared" si="128"/>
        <v>0.25</v>
      </c>
      <c r="L896" s="1348">
        <f t="shared" si="129"/>
        <v>96100.25</v>
      </c>
      <c r="M896" s="1462">
        <f t="shared" si="133"/>
        <v>9.61</v>
      </c>
      <c r="N896" s="1497">
        <f t="shared" si="130"/>
        <v>0.25</v>
      </c>
      <c r="O896" s="1440">
        <f t="shared" si="131"/>
        <v>9.86</v>
      </c>
      <c r="P896" s="23"/>
      <c r="Q896" s="53"/>
      <c r="R896" s="2516"/>
      <c r="S896" s="2516"/>
      <c r="T896" s="2516"/>
      <c r="U896" s="2516"/>
      <c r="V896" s="2516"/>
      <c r="W896" s="2523">
        <f t="shared" si="127"/>
        <v>96120</v>
      </c>
      <c r="X896" s="2543">
        <f t="shared" si="134"/>
        <v>80100</v>
      </c>
      <c r="Y896" s="2516"/>
      <c r="Z896" s="2516"/>
    </row>
    <row r="897" spans="1:26" s="9" customFormat="1" ht="18.75">
      <c r="A897" s="11">
        <v>6</v>
      </c>
      <c r="B897" s="67"/>
      <c r="C897" s="1532" t="s">
        <v>633</v>
      </c>
      <c r="D897" s="3"/>
      <c r="E897" s="3"/>
      <c r="F897" s="48"/>
      <c r="G897" s="48" t="s">
        <v>626</v>
      </c>
      <c r="H897" s="10"/>
      <c r="I897" s="1047" t="s">
        <v>573</v>
      </c>
      <c r="J897" s="1141">
        <f t="shared" si="132"/>
        <v>28800</v>
      </c>
      <c r="K897" s="1358">
        <f t="shared" si="128"/>
        <v>0.25</v>
      </c>
      <c r="L897" s="1348">
        <f t="shared" si="129"/>
        <v>28800.25</v>
      </c>
      <c r="M897" s="1462">
        <f t="shared" si="133"/>
        <v>2.88</v>
      </c>
      <c r="N897" s="1497">
        <f t="shared" si="130"/>
        <v>0.25</v>
      </c>
      <c r="O897" s="1440">
        <f t="shared" si="131"/>
        <v>3.13</v>
      </c>
      <c r="P897" s="23"/>
      <c r="Q897" s="53"/>
      <c r="R897" s="2516"/>
      <c r="S897" s="2516"/>
      <c r="T897" s="2516"/>
      <c r="U897" s="2516"/>
      <c r="V897" s="2516"/>
      <c r="W897" s="2523">
        <f t="shared" si="127"/>
        <v>28800</v>
      </c>
      <c r="X897" s="2543">
        <f t="shared" si="134"/>
        <v>24000</v>
      </c>
      <c r="Y897" s="2516"/>
      <c r="Z897" s="2516"/>
    </row>
    <row r="898" spans="1:26" s="9" customFormat="1" ht="18.75">
      <c r="A898" s="11"/>
      <c r="B898" s="67"/>
      <c r="C898" s="1532"/>
      <c r="D898" s="3"/>
      <c r="E898" s="3"/>
      <c r="F898" s="48"/>
      <c r="G898" s="48" t="s">
        <v>627</v>
      </c>
      <c r="H898" s="10"/>
      <c r="I898" s="1047" t="s">
        <v>573</v>
      </c>
      <c r="J898" s="1141">
        <f t="shared" si="132"/>
        <v>48000</v>
      </c>
      <c r="K898" s="1358">
        <f t="shared" si="128"/>
        <v>0.33999999999999997</v>
      </c>
      <c r="L898" s="1348">
        <f t="shared" si="129"/>
        <v>48000.34</v>
      </c>
      <c r="M898" s="1462">
        <f t="shared" si="133"/>
        <v>4.8</v>
      </c>
      <c r="N898" s="1497">
        <f t="shared" si="130"/>
        <v>0.33999999999999997</v>
      </c>
      <c r="O898" s="1440">
        <f t="shared" si="131"/>
        <v>5.14</v>
      </c>
      <c r="P898" s="23"/>
      <c r="Q898" s="53"/>
      <c r="R898" s="2516"/>
      <c r="S898" s="2516"/>
      <c r="T898" s="2516"/>
      <c r="U898" s="2516"/>
      <c r="V898" s="2516"/>
      <c r="W898" s="2523">
        <f t="shared" si="127"/>
        <v>48000</v>
      </c>
      <c r="X898" s="2543">
        <f t="shared" si="134"/>
        <v>40000</v>
      </c>
      <c r="Y898" s="2516"/>
      <c r="Z898" s="2516"/>
    </row>
    <row r="899" spans="1:26" s="9" customFormat="1" ht="18.75">
      <c r="A899" s="11">
        <v>7</v>
      </c>
      <c r="B899" s="67"/>
      <c r="C899" s="1532" t="s">
        <v>634</v>
      </c>
      <c r="D899" s="3"/>
      <c r="E899" s="3"/>
      <c r="F899" s="48"/>
      <c r="G899" s="48" t="s">
        <v>626</v>
      </c>
      <c r="H899" s="10"/>
      <c r="I899" s="1047" t="s">
        <v>573</v>
      </c>
      <c r="J899" s="1141">
        <f t="shared" si="132"/>
        <v>38400</v>
      </c>
      <c r="K899" s="1358">
        <f t="shared" si="128"/>
        <v>0.25</v>
      </c>
      <c r="L899" s="1348">
        <f t="shared" si="129"/>
        <v>38400.25</v>
      </c>
      <c r="M899" s="1462">
        <f t="shared" si="133"/>
        <v>3.84</v>
      </c>
      <c r="N899" s="1497">
        <f t="shared" si="130"/>
        <v>0.25</v>
      </c>
      <c r="O899" s="1440">
        <f t="shared" si="131"/>
        <v>4.09</v>
      </c>
      <c r="P899" s="23"/>
      <c r="Q899" s="53"/>
      <c r="R899" s="2516"/>
      <c r="S899" s="2516"/>
      <c r="T899" s="2516"/>
      <c r="U899" s="2516"/>
      <c r="V899" s="2516"/>
      <c r="W899" s="2523">
        <f t="shared" si="127"/>
        <v>38400</v>
      </c>
      <c r="X899" s="2543">
        <f t="shared" si="134"/>
        <v>32000</v>
      </c>
      <c r="Y899" s="2516"/>
      <c r="Z899" s="2516"/>
    </row>
    <row r="900" spans="1:26" s="9" customFormat="1" ht="18.75">
      <c r="A900" s="11"/>
      <c r="B900" s="67"/>
      <c r="C900" s="1532"/>
      <c r="D900" s="3"/>
      <c r="E900" s="3"/>
      <c r="F900" s="48"/>
      <c r="G900" s="48" t="s">
        <v>627</v>
      </c>
      <c r="H900" s="10"/>
      <c r="I900" s="1047" t="s">
        <v>573</v>
      </c>
      <c r="J900" s="1141">
        <f t="shared" si="132"/>
        <v>57600</v>
      </c>
      <c r="K900" s="1358">
        <f t="shared" si="128"/>
        <v>0.33999999999999997</v>
      </c>
      <c r="L900" s="1348">
        <f t="shared" si="129"/>
        <v>57600.34</v>
      </c>
      <c r="M900" s="1462">
        <f t="shared" si="133"/>
        <v>5.76</v>
      </c>
      <c r="N900" s="1497">
        <f t="shared" si="130"/>
        <v>0.33999999999999997</v>
      </c>
      <c r="O900" s="1440">
        <f t="shared" si="131"/>
        <v>6.1</v>
      </c>
      <c r="P900" s="23"/>
      <c r="Q900" s="53"/>
      <c r="R900" s="2516"/>
      <c r="S900" s="2516"/>
      <c r="T900" s="2516"/>
      <c r="U900" s="2516"/>
      <c r="V900" s="2516"/>
      <c r="W900" s="2523">
        <f t="shared" si="127"/>
        <v>57600</v>
      </c>
      <c r="X900" s="2543">
        <f t="shared" si="134"/>
        <v>48000</v>
      </c>
      <c r="Y900" s="2516"/>
      <c r="Z900" s="2516"/>
    </row>
    <row r="901" spans="1:26" s="9" customFormat="1" ht="18.75">
      <c r="A901" s="11">
        <v>8</v>
      </c>
      <c r="B901" s="67"/>
      <c r="C901" s="1532" t="s">
        <v>635</v>
      </c>
      <c r="D901" s="3"/>
      <c r="E901" s="3"/>
      <c r="F901" s="48"/>
      <c r="G901" s="48"/>
      <c r="H901" s="10"/>
      <c r="I901" s="1047" t="s">
        <v>573</v>
      </c>
      <c r="J901" s="1141">
        <f t="shared" si="132"/>
        <v>10400</v>
      </c>
      <c r="K901" s="1358">
        <f t="shared" si="128"/>
        <v>0</v>
      </c>
      <c r="L901" s="1348">
        <f t="shared" si="129"/>
        <v>10400</v>
      </c>
      <c r="M901" s="1462">
        <f t="shared" si="133"/>
        <v>1.04</v>
      </c>
      <c r="N901" s="1497">
        <f t="shared" si="130"/>
        <v>0</v>
      </c>
      <c r="O901" s="1440">
        <f t="shared" si="131"/>
        <v>1.04</v>
      </c>
      <c r="P901" s="23"/>
      <c r="Q901" s="53"/>
      <c r="R901" s="2516"/>
      <c r="S901" s="2516"/>
      <c r="T901" s="2516"/>
      <c r="U901" s="2516"/>
      <c r="V901" s="2516"/>
      <c r="W901" s="2523">
        <f t="shared" si="127"/>
        <v>10440</v>
      </c>
      <c r="X901" s="2543">
        <f t="shared" si="134"/>
        <v>8700</v>
      </c>
      <c r="Y901" s="2516"/>
      <c r="Z901" s="2516"/>
    </row>
    <row r="902" spans="1:26" s="9" customFormat="1" ht="18.75">
      <c r="A902" s="11">
        <v>9</v>
      </c>
      <c r="B902" s="67"/>
      <c r="C902" s="1532" t="s">
        <v>636</v>
      </c>
      <c r="D902" s="3"/>
      <c r="E902" s="3"/>
      <c r="F902" s="48"/>
      <c r="G902" s="48"/>
      <c r="H902" s="10"/>
      <c r="I902" s="1047" t="s">
        <v>573</v>
      </c>
      <c r="J902" s="1141">
        <f t="shared" si="132"/>
        <v>96100</v>
      </c>
      <c r="K902" s="1358">
        <f t="shared" si="128"/>
        <v>0.16</v>
      </c>
      <c r="L902" s="1348">
        <f t="shared" si="129"/>
        <v>96100.16</v>
      </c>
      <c r="M902" s="1462">
        <f t="shared" si="133"/>
        <v>9.61</v>
      </c>
      <c r="N902" s="1497">
        <f t="shared" si="130"/>
        <v>0.16</v>
      </c>
      <c r="O902" s="1440">
        <f t="shared" si="131"/>
        <v>9.77</v>
      </c>
      <c r="P902" s="23"/>
      <c r="Q902" s="53"/>
      <c r="R902" s="2516"/>
      <c r="S902" s="2516"/>
      <c r="T902" s="2516"/>
      <c r="U902" s="2516"/>
      <c r="V902" s="2516"/>
      <c r="W902" s="2523">
        <f t="shared" si="127"/>
        <v>96120</v>
      </c>
      <c r="X902" s="2543">
        <f t="shared" si="134"/>
        <v>80100</v>
      </c>
      <c r="Y902" s="2516"/>
      <c r="Z902" s="2516"/>
    </row>
    <row r="903" spans="1:26" s="9" customFormat="1" ht="18.75">
      <c r="A903" s="11">
        <v>10</v>
      </c>
      <c r="B903" s="67"/>
      <c r="C903" s="1532" t="s">
        <v>637</v>
      </c>
      <c r="D903" s="3"/>
      <c r="E903" s="3"/>
      <c r="F903" s="48"/>
      <c r="G903" s="48"/>
      <c r="H903" s="10"/>
      <c r="I903" s="1047" t="s">
        <v>573</v>
      </c>
      <c r="J903" s="1141">
        <f t="shared" si="132"/>
        <v>144100</v>
      </c>
      <c r="K903" s="1358">
        <f t="shared" si="128"/>
        <v>0.25</v>
      </c>
      <c r="L903" s="1348">
        <f t="shared" si="129"/>
        <v>144100.25</v>
      </c>
      <c r="M903" s="1462">
        <f t="shared" si="133"/>
        <v>14.41</v>
      </c>
      <c r="N903" s="1497">
        <f t="shared" si="130"/>
        <v>0.25</v>
      </c>
      <c r="O903" s="1440">
        <f t="shared" si="131"/>
        <v>14.66</v>
      </c>
      <c r="P903" s="23"/>
      <c r="Q903" s="53"/>
      <c r="R903" s="2516"/>
      <c r="S903" s="2516"/>
      <c r="T903" s="2516"/>
      <c r="U903" s="2516"/>
      <c r="V903" s="2516"/>
      <c r="W903" s="2523">
        <f t="shared" si="127"/>
        <v>144120</v>
      </c>
      <c r="X903" s="2543">
        <f t="shared" si="134"/>
        <v>120100</v>
      </c>
      <c r="Y903" s="2516"/>
      <c r="Z903" s="2516"/>
    </row>
    <row r="904" spans="1:26" s="9" customFormat="1" ht="18.75">
      <c r="A904" s="11">
        <v>11</v>
      </c>
      <c r="B904" s="67"/>
      <c r="C904" s="1532" t="s">
        <v>638</v>
      </c>
      <c r="D904" s="3"/>
      <c r="E904" s="3"/>
      <c r="F904" s="48"/>
      <c r="G904" s="48"/>
      <c r="H904" s="10"/>
      <c r="I904" s="1047" t="s">
        <v>573</v>
      </c>
      <c r="J904" s="1141">
        <f t="shared" si="132"/>
        <v>96100</v>
      </c>
      <c r="K904" s="1358">
        <f t="shared" si="128"/>
        <v>2.33</v>
      </c>
      <c r="L904" s="1348">
        <f t="shared" si="129"/>
        <v>96102.33</v>
      </c>
      <c r="M904" s="1462">
        <f t="shared" si="133"/>
        <v>9.61</v>
      </c>
      <c r="N904" s="1497">
        <f t="shared" si="130"/>
        <v>2.33</v>
      </c>
      <c r="O904" s="1440">
        <f t="shared" si="131"/>
        <v>11.94</v>
      </c>
      <c r="P904" s="23"/>
      <c r="Q904" s="53"/>
      <c r="R904" s="2516"/>
      <c r="S904" s="2516"/>
      <c r="T904" s="2516"/>
      <c r="U904" s="2516"/>
      <c r="V904" s="2516"/>
      <c r="W904" s="2523">
        <f t="shared" si="127"/>
        <v>96120</v>
      </c>
      <c r="X904" s="2543">
        <f t="shared" si="134"/>
        <v>80100</v>
      </c>
      <c r="Y904" s="2516"/>
      <c r="Z904" s="2516"/>
    </row>
    <row r="905" spans="1:26" s="9" customFormat="1" ht="18.75">
      <c r="A905" s="11">
        <v>12</v>
      </c>
      <c r="B905" s="67"/>
      <c r="C905" s="1532" t="s">
        <v>639</v>
      </c>
      <c r="D905" s="3"/>
      <c r="E905" s="3"/>
      <c r="F905" s="48"/>
      <c r="G905" s="48"/>
      <c r="H905" s="10"/>
      <c r="I905" s="1047" t="s">
        <v>573</v>
      </c>
      <c r="J905" s="1141">
        <f t="shared" si="132"/>
        <v>192200</v>
      </c>
      <c r="K905" s="1358">
        <f t="shared" si="128"/>
        <v>2.6</v>
      </c>
      <c r="L905" s="1348">
        <f t="shared" si="129"/>
        <v>192202.6</v>
      </c>
      <c r="M905" s="1462">
        <f t="shared" si="133"/>
        <v>19.22</v>
      </c>
      <c r="N905" s="1497">
        <f t="shared" si="130"/>
        <v>2.6</v>
      </c>
      <c r="O905" s="1440">
        <f t="shared" si="131"/>
        <v>21.82</v>
      </c>
      <c r="P905" s="23"/>
      <c r="Q905" s="53"/>
      <c r="R905" s="2516"/>
      <c r="S905" s="2516"/>
      <c r="T905" s="2516"/>
      <c r="U905" s="2516"/>
      <c r="V905" s="2516"/>
      <c r="W905" s="2523">
        <f t="shared" si="127"/>
        <v>192240</v>
      </c>
      <c r="X905" s="2543">
        <f t="shared" si="134"/>
        <v>160200</v>
      </c>
      <c r="Y905" s="2516"/>
      <c r="Z905" s="2516"/>
    </row>
    <row r="906" spans="1:26" s="9" customFormat="1" ht="18.75">
      <c r="A906" s="11">
        <v>13</v>
      </c>
      <c r="B906" s="67"/>
      <c r="C906" s="1532" t="s">
        <v>659</v>
      </c>
      <c r="D906" s="3"/>
      <c r="E906" s="3"/>
      <c r="F906" s="48"/>
      <c r="G906" s="48"/>
      <c r="H906" s="10"/>
      <c r="I906" s="1047" t="s">
        <v>573</v>
      </c>
      <c r="J906" s="1141">
        <v>453600</v>
      </c>
      <c r="K906" s="1358">
        <f t="shared" si="128"/>
        <v>4.680000000000001</v>
      </c>
      <c r="L906" s="1348">
        <f t="shared" si="129"/>
        <v>453604.68</v>
      </c>
      <c r="M906" s="1486">
        <f>J906/10000</f>
        <v>45.36</v>
      </c>
      <c r="N906" s="1497">
        <f t="shared" si="130"/>
        <v>4.680000000000001</v>
      </c>
      <c r="O906" s="1440">
        <f t="shared" si="131"/>
        <v>50.04</v>
      </c>
      <c r="P906" s="23"/>
      <c r="Q906" s="53"/>
      <c r="R906" s="2516"/>
      <c r="S906" s="2516"/>
      <c r="T906" s="2516"/>
      <c r="U906" s="2516"/>
      <c r="V906" s="2516"/>
      <c r="W906" s="2523">
        <f t="shared" si="127"/>
        <v>453600</v>
      </c>
      <c r="X906" s="2543">
        <v>378000</v>
      </c>
      <c r="Y906" s="2516"/>
      <c r="Z906" s="2516"/>
    </row>
    <row r="907" spans="1:26" s="9" customFormat="1" ht="18.75">
      <c r="A907" s="11">
        <v>14</v>
      </c>
      <c r="B907" s="67"/>
      <c r="C907" s="1532" t="s">
        <v>660</v>
      </c>
      <c r="D907" s="3"/>
      <c r="E907" s="3"/>
      <c r="F907" s="48"/>
      <c r="G907" s="48"/>
      <c r="H907" s="10"/>
      <c r="I907" s="1047" t="s">
        <v>573</v>
      </c>
      <c r="J907" s="1141">
        <v>647900</v>
      </c>
      <c r="K907" s="1358">
        <f t="shared" si="128"/>
        <v>4.7700000000000005</v>
      </c>
      <c r="L907" s="1348">
        <f t="shared" si="129"/>
        <v>647904.77</v>
      </c>
      <c r="M907" s="1486">
        <f>J907/10000</f>
        <v>64.79</v>
      </c>
      <c r="N907" s="1497">
        <f t="shared" si="130"/>
        <v>4.7700000000000005</v>
      </c>
      <c r="O907" s="1440">
        <f t="shared" si="131"/>
        <v>69.56</v>
      </c>
      <c r="P907" s="23"/>
      <c r="Q907" s="53"/>
      <c r="R907" s="2516"/>
      <c r="S907" s="2516"/>
      <c r="T907" s="2516"/>
      <c r="U907" s="2516"/>
      <c r="V907" s="2516"/>
      <c r="W907" s="2523">
        <f t="shared" si="127"/>
        <v>647880</v>
      </c>
      <c r="X907" s="2543">
        <v>539900</v>
      </c>
      <c r="Y907" s="2516"/>
      <c r="Z907" s="2516"/>
    </row>
    <row r="908" spans="1:26" s="9" customFormat="1" ht="18.75">
      <c r="A908" s="11">
        <v>15</v>
      </c>
      <c r="B908" s="67"/>
      <c r="C908" s="1532" t="s">
        <v>640</v>
      </c>
      <c r="D908" s="3"/>
      <c r="E908" s="3"/>
      <c r="F908" s="48"/>
      <c r="G908" s="48" t="s">
        <v>626</v>
      </c>
      <c r="H908" s="10"/>
      <c r="I908" s="1047" t="s">
        <v>573</v>
      </c>
      <c r="J908" s="1141">
        <f>J867</f>
        <v>96100</v>
      </c>
      <c r="K908" s="1358">
        <f t="shared" si="128"/>
        <v>0.25</v>
      </c>
      <c r="L908" s="1348">
        <f t="shared" si="129"/>
        <v>96100.25</v>
      </c>
      <c r="M908" s="1462">
        <f>M867</f>
        <v>9.61</v>
      </c>
      <c r="N908" s="1497">
        <f t="shared" si="130"/>
        <v>0.25</v>
      </c>
      <c r="O908" s="1440">
        <f t="shared" si="131"/>
        <v>9.86</v>
      </c>
      <c r="P908" s="23"/>
      <c r="Q908" s="53"/>
      <c r="R908" s="2516"/>
      <c r="S908" s="2516"/>
      <c r="T908" s="2516"/>
      <c r="U908" s="2516"/>
      <c r="V908" s="2516"/>
      <c r="W908" s="2523">
        <f t="shared" si="127"/>
        <v>96120</v>
      </c>
      <c r="X908" s="2543">
        <f>X867</f>
        <v>80100</v>
      </c>
      <c r="Y908" s="2516"/>
      <c r="Z908" s="2516"/>
    </row>
    <row r="909" spans="1:26" s="9" customFormat="1" ht="18.75">
      <c r="A909" s="11"/>
      <c r="B909" s="67"/>
      <c r="C909" s="1532"/>
      <c r="D909" s="3"/>
      <c r="E909" s="3"/>
      <c r="F909" s="48"/>
      <c r="G909" s="48" t="s">
        <v>627</v>
      </c>
      <c r="H909" s="10"/>
      <c r="I909" s="1047" t="s">
        <v>573</v>
      </c>
      <c r="J909" s="1141">
        <f aca="true" t="shared" si="135" ref="J909:J926">J868</f>
        <v>144100</v>
      </c>
      <c r="K909" s="1358">
        <f t="shared" si="128"/>
        <v>0.25</v>
      </c>
      <c r="L909" s="1348">
        <f t="shared" si="129"/>
        <v>144100.25</v>
      </c>
      <c r="M909" s="1462">
        <f aca="true" t="shared" si="136" ref="M909:M926">M868</f>
        <v>14.41</v>
      </c>
      <c r="N909" s="1497">
        <f t="shared" si="130"/>
        <v>0.25</v>
      </c>
      <c r="O909" s="1440">
        <f t="shared" si="131"/>
        <v>14.66</v>
      </c>
      <c r="P909" s="23"/>
      <c r="Q909" s="53"/>
      <c r="R909" s="2516"/>
      <c r="S909" s="2516"/>
      <c r="T909" s="2516"/>
      <c r="U909" s="2516"/>
      <c r="V909" s="2516"/>
      <c r="W909" s="2523">
        <f t="shared" si="127"/>
        <v>144120</v>
      </c>
      <c r="X909" s="2543">
        <f aca="true" t="shared" si="137" ref="X909:X926">X868</f>
        <v>120100</v>
      </c>
      <c r="Y909" s="2516"/>
      <c r="Z909" s="2516"/>
    </row>
    <row r="910" spans="1:26" s="9" customFormat="1" ht="18.75">
      <c r="A910" s="11">
        <v>16</v>
      </c>
      <c r="B910" s="67"/>
      <c r="C910" s="1532" t="s">
        <v>641</v>
      </c>
      <c r="D910" s="3"/>
      <c r="E910" s="3"/>
      <c r="F910" s="48"/>
      <c r="G910" s="48" t="s">
        <v>626</v>
      </c>
      <c r="H910" s="10"/>
      <c r="I910" s="1047" t="s">
        <v>573</v>
      </c>
      <c r="J910" s="1141">
        <f t="shared" si="135"/>
        <v>96100</v>
      </c>
      <c r="K910" s="1358">
        <f t="shared" si="128"/>
        <v>0.25</v>
      </c>
      <c r="L910" s="1348">
        <f t="shared" si="129"/>
        <v>96100.25</v>
      </c>
      <c r="M910" s="1462">
        <f t="shared" si="136"/>
        <v>9.61</v>
      </c>
      <c r="N910" s="1497">
        <f t="shared" si="130"/>
        <v>0.25</v>
      </c>
      <c r="O910" s="1440">
        <f t="shared" si="131"/>
        <v>9.86</v>
      </c>
      <c r="P910" s="23"/>
      <c r="Q910" s="53"/>
      <c r="R910" s="2516"/>
      <c r="S910" s="2516"/>
      <c r="T910" s="2516"/>
      <c r="U910" s="2516"/>
      <c r="V910" s="2516"/>
      <c r="W910" s="2523">
        <f t="shared" si="127"/>
        <v>96120</v>
      </c>
      <c r="X910" s="2543">
        <f t="shared" si="137"/>
        <v>80100</v>
      </c>
      <c r="Y910" s="2516"/>
      <c r="Z910" s="2516"/>
    </row>
    <row r="911" spans="1:26" s="9" customFormat="1" ht="18.75">
      <c r="A911" s="11"/>
      <c r="B911" s="67"/>
      <c r="C911" s="1532"/>
      <c r="D911" s="3"/>
      <c r="E911" s="3"/>
      <c r="F911" s="48"/>
      <c r="G911" s="48" t="s">
        <v>627</v>
      </c>
      <c r="H911" s="10"/>
      <c r="I911" s="1047" t="s">
        <v>573</v>
      </c>
      <c r="J911" s="1141">
        <f t="shared" si="135"/>
        <v>144100</v>
      </c>
      <c r="K911" s="1358">
        <f t="shared" si="128"/>
        <v>0.33999999999999997</v>
      </c>
      <c r="L911" s="1348">
        <f t="shared" si="129"/>
        <v>144100.34</v>
      </c>
      <c r="M911" s="1462">
        <f t="shared" si="136"/>
        <v>14.41</v>
      </c>
      <c r="N911" s="1497">
        <f t="shared" si="130"/>
        <v>0.33999999999999997</v>
      </c>
      <c r="O911" s="1440">
        <f t="shared" si="131"/>
        <v>14.75</v>
      </c>
      <c r="P911" s="23"/>
      <c r="Q911" s="53"/>
      <c r="R911" s="2516"/>
      <c r="S911" s="2516"/>
      <c r="T911" s="2516"/>
      <c r="U911" s="2516"/>
      <c r="V911" s="2516"/>
      <c r="W911" s="2523">
        <f t="shared" si="127"/>
        <v>144120</v>
      </c>
      <c r="X911" s="2543">
        <f t="shared" si="137"/>
        <v>120100</v>
      </c>
      <c r="Y911" s="2516"/>
      <c r="Z911" s="2516"/>
    </row>
    <row r="912" spans="1:26" s="9" customFormat="1" ht="18.75">
      <c r="A912" s="11">
        <v>17</v>
      </c>
      <c r="B912" s="67"/>
      <c r="C912" s="1532" t="s">
        <v>642</v>
      </c>
      <c r="D912" s="3"/>
      <c r="E912" s="3"/>
      <c r="F912" s="48"/>
      <c r="G912" s="48" t="s">
        <v>626</v>
      </c>
      <c r="H912" s="10"/>
      <c r="I912" s="1047" t="s">
        <v>573</v>
      </c>
      <c r="J912" s="1141">
        <f t="shared" si="135"/>
        <v>96100</v>
      </c>
      <c r="K912" s="1358">
        <f t="shared" si="128"/>
        <v>0.25</v>
      </c>
      <c r="L912" s="1348">
        <f t="shared" si="129"/>
        <v>96100.25</v>
      </c>
      <c r="M912" s="1462">
        <f t="shared" si="136"/>
        <v>9.61</v>
      </c>
      <c r="N912" s="1497">
        <f t="shared" si="130"/>
        <v>0.25</v>
      </c>
      <c r="O912" s="1440">
        <f t="shared" si="131"/>
        <v>9.86</v>
      </c>
      <c r="P912" s="23"/>
      <c r="Q912" s="53"/>
      <c r="R912" s="2516"/>
      <c r="S912" s="2516"/>
      <c r="T912" s="2516"/>
      <c r="U912" s="2516"/>
      <c r="V912" s="2516"/>
      <c r="W912" s="2523">
        <f t="shared" si="127"/>
        <v>96120</v>
      </c>
      <c r="X912" s="2543">
        <f t="shared" si="137"/>
        <v>80100</v>
      </c>
      <c r="Y912" s="2516"/>
      <c r="Z912" s="2516"/>
    </row>
    <row r="913" spans="1:26" s="9" customFormat="1" ht="18.75">
      <c r="A913" s="11">
        <v>16</v>
      </c>
      <c r="B913" s="67"/>
      <c r="C913" s="1532"/>
      <c r="D913" s="3"/>
      <c r="E913" s="3"/>
      <c r="F913" s="48"/>
      <c r="G913" s="48" t="s">
        <v>627</v>
      </c>
      <c r="H913" s="10"/>
      <c r="I913" s="1047" t="s">
        <v>573</v>
      </c>
      <c r="J913" s="1141">
        <f t="shared" si="135"/>
        <v>144100</v>
      </c>
      <c r="K913" s="1358">
        <f t="shared" si="128"/>
        <v>0.33999999999999997</v>
      </c>
      <c r="L913" s="1348">
        <f t="shared" si="129"/>
        <v>144100.34</v>
      </c>
      <c r="M913" s="1462">
        <f t="shared" si="136"/>
        <v>14.41</v>
      </c>
      <c r="N913" s="1497">
        <f t="shared" si="130"/>
        <v>0.33999999999999997</v>
      </c>
      <c r="O913" s="1440">
        <f t="shared" si="131"/>
        <v>14.75</v>
      </c>
      <c r="P913" s="23"/>
      <c r="Q913" s="53"/>
      <c r="R913" s="2516"/>
      <c r="S913" s="2516"/>
      <c r="T913" s="2516"/>
      <c r="U913" s="2516"/>
      <c r="V913" s="2516"/>
      <c r="W913" s="2523">
        <f t="shared" si="127"/>
        <v>144120</v>
      </c>
      <c r="X913" s="2543">
        <f t="shared" si="137"/>
        <v>120100</v>
      </c>
      <c r="Y913" s="2516"/>
      <c r="Z913" s="2516"/>
    </row>
    <row r="914" spans="1:26" s="9" customFormat="1" ht="18.75">
      <c r="A914" s="11">
        <v>18</v>
      </c>
      <c r="B914" s="67"/>
      <c r="C914" s="1532" t="s">
        <v>643</v>
      </c>
      <c r="D914" s="3"/>
      <c r="E914" s="3"/>
      <c r="F914" s="48"/>
      <c r="G914" s="48"/>
      <c r="H914" s="10"/>
      <c r="I914" s="1047" t="s">
        <v>573</v>
      </c>
      <c r="J914" s="1141">
        <f t="shared" si="135"/>
        <v>96100</v>
      </c>
      <c r="K914" s="1358">
        <f t="shared" si="128"/>
        <v>0.25</v>
      </c>
      <c r="L914" s="1348">
        <f t="shared" si="129"/>
        <v>96100.25</v>
      </c>
      <c r="M914" s="1462">
        <f t="shared" si="136"/>
        <v>9.61</v>
      </c>
      <c r="N914" s="1497">
        <f t="shared" si="130"/>
        <v>0.25</v>
      </c>
      <c r="O914" s="1440">
        <f t="shared" si="131"/>
        <v>9.86</v>
      </c>
      <c r="P914" s="23"/>
      <c r="Q914" s="53"/>
      <c r="R914" s="2516"/>
      <c r="S914" s="2516"/>
      <c r="T914" s="2516"/>
      <c r="U914" s="2516"/>
      <c r="V914" s="2516"/>
      <c r="W914" s="2523">
        <f t="shared" si="127"/>
        <v>96120</v>
      </c>
      <c r="X914" s="2543">
        <f t="shared" si="137"/>
        <v>80100</v>
      </c>
      <c r="Y914" s="2516"/>
      <c r="Z914" s="2516"/>
    </row>
    <row r="915" spans="1:26" s="9" customFormat="1" ht="18.75">
      <c r="A915" s="11">
        <v>19</v>
      </c>
      <c r="B915" s="67"/>
      <c r="C915" s="1532" t="s">
        <v>644</v>
      </c>
      <c r="D915" s="3"/>
      <c r="E915" s="3"/>
      <c r="F915" s="48"/>
      <c r="G915" s="48"/>
      <c r="H915" s="10"/>
      <c r="I915" s="1047" t="s">
        <v>573</v>
      </c>
      <c r="J915" s="1141">
        <f t="shared" si="135"/>
        <v>144100</v>
      </c>
      <c r="K915" s="1358">
        <f t="shared" si="128"/>
        <v>0.25</v>
      </c>
      <c r="L915" s="1348">
        <f t="shared" si="129"/>
        <v>144100.25</v>
      </c>
      <c r="M915" s="1462">
        <f t="shared" si="136"/>
        <v>14.41</v>
      </c>
      <c r="N915" s="1497">
        <f t="shared" si="130"/>
        <v>0.25</v>
      </c>
      <c r="O915" s="1440">
        <f t="shared" si="131"/>
        <v>14.66</v>
      </c>
      <c r="P915" s="23"/>
      <c r="Q915" s="53"/>
      <c r="R915" s="2516"/>
      <c r="S915" s="2516"/>
      <c r="T915" s="2516"/>
      <c r="U915" s="2516"/>
      <c r="V915" s="2516"/>
      <c r="W915" s="2523">
        <f t="shared" si="127"/>
        <v>144120</v>
      </c>
      <c r="X915" s="2543">
        <f t="shared" si="137"/>
        <v>120100</v>
      </c>
      <c r="Y915" s="2516"/>
      <c r="Z915" s="2516"/>
    </row>
    <row r="916" spans="1:26" s="9" customFormat="1" ht="18.75">
      <c r="A916" s="11">
        <v>20</v>
      </c>
      <c r="B916" s="67"/>
      <c r="C916" s="1532" t="s">
        <v>645</v>
      </c>
      <c r="D916" s="3"/>
      <c r="E916" s="3"/>
      <c r="F916" s="48"/>
      <c r="G916" s="48"/>
      <c r="H916" s="10"/>
      <c r="I916" s="1047" t="s">
        <v>573</v>
      </c>
      <c r="J916" s="1141">
        <f t="shared" si="135"/>
        <v>144100</v>
      </c>
      <c r="K916" s="1358">
        <f t="shared" si="128"/>
        <v>0.25</v>
      </c>
      <c r="L916" s="1348">
        <f t="shared" si="129"/>
        <v>144100.25</v>
      </c>
      <c r="M916" s="1462">
        <f t="shared" si="136"/>
        <v>14.41</v>
      </c>
      <c r="N916" s="1497">
        <f t="shared" si="130"/>
        <v>0.25</v>
      </c>
      <c r="O916" s="1440">
        <f t="shared" si="131"/>
        <v>14.66</v>
      </c>
      <c r="P916" s="23"/>
      <c r="Q916" s="53"/>
      <c r="R916" s="2516"/>
      <c r="S916" s="2516"/>
      <c r="T916" s="2516"/>
      <c r="U916" s="2516"/>
      <c r="V916" s="2516"/>
      <c r="W916" s="2523">
        <f t="shared" si="127"/>
        <v>144120</v>
      </c>
      <c r="X916" s="2543">
        <f t="shared" si="137"/>
        <v>120100</v>
      </c>
      <c r="Y916" s="2516"/>
      <c r="Z916" s="2516"/>
    </row>
    <row r="917" spans="1:26" s="9" customFormat="1" ht="18.75">
      <c r="A917" s="11">
        <v>21</v>
      </c>
      <c r="B917" s="67"/>
      <c r="C917" s="1532" t="s">
        <v>646</v>
      </c>
      <c r="D917" s="3"/>
      <c r="E917" s="3"/>
      <c r="F917" s="48"/>
      <c r="G917" s="48"/>
      <c r="H917" s="10"/>
      <c r="I917" s="1047" t="s">
        <v>573</v>
      </c>
      <c r="J917" s="1141">
        <f t="shared" si="135"/>
        <v>96100</v>
      </c>
      <c r="K917" s="1358">
        <f t="shared" si="128"/>
        <v>0.25</v>
      </c>
      <c r="L917" s="1348">
        <f t="shared" si="129"/>
        <v>96100.25</v>
      </c>
      <c r="M917" s="1462">
        <f t="shared" si="136"/>
        <v>9.61</v>
      </c>
      <c r="N917" s="1497">
        <f t="shared" si="130"/>
        <v>0.25</v>
      </c>
      <c r="O917" s="1440">
        <f t="shared" si="131"/>
        <v>9.86</v>
      </c>
      <c r="P917" s="23"/>
      <c r="Q917" s="53"/>
      <c r="R917" s="2516"/>
      <c r="S917" s="2516"/>
      <c r="T917" s="2516"/>
      <c r="U917" s="2516"/>
      <c r="V917" s="2516"/>
      <c r="W917" s="2523">
        <f t="shared" si="127"/>
        <v>96120</v>
      </c>
      <c r="X917" s="2543">
        <f t="shared" si="137"/>
        <v>80100</v>
      </c>
      <c r="Y917" s="2516"/>
      <c r="Z917" s="2516"/>
    </row>
    <row r="918" spans="1:26" s="9" customFormat="1" ht="18.75">
      <c r="A918" s="11">
        <v>22</v>
      </c>
      <c r="B918" s="67"/>
      <c r="C918" s="1532" t="s">
        <v>647</v>
      </c>
      <c r="D918" s="3"/>
      <c r="E918" s="3"/>
      <c r="F918" s="48"/>
      <c r="G918" s="48"/>
      <c r="H918" s="10"/>
      <c r="I918" s="1047" t="s">
        <v>573</v>
      </c>
      <c r="J918" s="1141">
        <f t="shared" si="135"/>
        <v>144100</v>
      </c>
      <c r="K918" s="1358">
        <f t="shared" si="128"/>
        <v>0.25</v>
      </c>
      <c r="L918" s="1348">
        <f t="shared" si="129"/>
        <v>144100.25</v>
      </c>
      <c r="M918" s="1462">
        <f t="shared" si="136"/>
        <v>14.41</v>
      </c>
      <c r="N918" s="1497">
        <f t="shared" si="130"/>
        <v>0.25</v>
      </c>
      <c r="O918" s="1440">
        <f t="shared" si="131"/>
        <v>14.66</v>
      </c>
      <c r="P918" s="23"/>
      <c r="Q918" s="53"/>
      <c r="R918" s="2516"/>
      <c r="S918" s="2516"/>
      <c r="T918" s="2516"/>
      <c r="U918" s="2516"/>
      <c r="V918" s="2516"/>
      <c r="W918" s="2523">
        <f t="shared" si="127"/>
        <v>144120</v>
      </c>
      <c r="X918" s="2543">
        <f t="shared" si="137"/>
        <v>120100</v>
      </c>
      <c r="Y918" s="2516"/>
      <c r="Z918" s="2516"/>
    </row>
    <row r="919" spans="1:26" s="9" customFormat="1" ht="18.75">
      <c r="A919" s="11">
        <v>23</v>
      </c>
      <c r="B919" s="67"/>
      <c r="C919" s="1532" t="s">
        <v>648</v>
      </c>
      <c r="D919" s="3"/>
      <c r="E919" s="3"/>
      <c r="F919" s="48"/>
      <c r="G919" s="48"/>
      <c r="H919" s="10"/>
      <c r="I919" s="1047" t="s">
        <v>573</v>
      </c>
      <c r="J919" s="1141">
        <f t="shared" si="135"/>
        <v>96100</v>
      </c>
      <c r="K919" s="1358">
        <f t="shared" si="128"/>
        <v>0.25</v>
      </c>
      <c r="L919" s="1348">
        <f t="shared" si="129"/>
        <v>96100.25</v>
      </c>
      <c r="M919" s="1462">
        <f t="shared" si="136"/>
        <v>9.61</v>
      </c>
      <c r="N919" s="1497">
        <f t="shared" si="130"/>
        <v>0.25</v>
      </c>
      <c r="O919" s="1440">
        <f t="shared" si="131"/>
        <v>9.86</v>
      </c>
      <c r="P919" s="23"/>
      <c r="Q919" s="53"/>
      <c r="R919" s="2516"/>
      <c r="S919" s="2516"/>
      <c r="T919" s="2516"/>
      <c r="U919" s="2516"/>
      <c r="V919" s="2516"/>
      <c r="W919" s="2523">
        <f t="shared" si="127"/>
        <v>96120</v>
      </c>
      <c r="X919" s="2543">
        <f t="shared" si="137"/>
        <v>80100</v>
      </c>
      <c r="Y919" s="2516"/>
      <c r="Z919" s="2516"/>
    </row>
    <row r="920" spans="1:26" s="9" customFormat="1" ht="18.75">
      <c r="A920" s="11">
        <v>24</v>
      </c>
      <c r="B920" s="67"/>
      <c r="C920" s="1532" t="s">
        <v>649</v>
      </c>
      <c r="D920" s="3"/>
      <c r="E920" s="3"/>
      <c r="F920" s="48"/>
      <c r="G920" s="48"/>
      <c r="H920" s="10"/>
      <c r="I920" s="1047" t="s">
        <v>573</v>
      </c>
      <c r="J920" s="1141">
        <f t="shared" si="135"/>
        <v>144100</v>
      </c>
      <c r="K920" s="1358">
        <f t="shared" si="128"/>
        <v>0.33999999999999997</v>
      </c>
      <c r="L920" s="1348">
        <f t="shared" si="129"/>
        <v>144100.34</v>
      </c>
      <c r="M920" s="1462">
        <f t="shared" si="136"/>
        <v>14.41</v>
      </c>
      <c r="N920" s="1497">
        <f t="shared" si="130"/>
        <v>0</v>
      </c>
      <c r="O920" s="1440">
        <f t="shared" si="131"/>
        <v>14.41</v>
      </c>
      <c r="P920" s="23"/>
      <c r="Q920" s="53"/>
      <c r="R920" s="2516"/>
      <c r="S920" s="2516"/>
      <c r="T920" s="2516"/>
      <c r="U920" s="2516"/>
      <c r="V920" s="2516"/>
      <c r="W920" s="2523">
        <f t="shared" si="127"/>
        <v>144120</v>
      </c>
      <c r="X920" s="2543">
        <f t="shared" si="137"/>
        <v>120100</v>
      </c>
      <c r="Y920" s="2516"/>
      <c r="Z920" s="2516"/>
    </row>
    <row r="921" spans="1:26" s="9" customFormat="1" ht="18.75">
      <c r="A921" s="11">
        <v>25</v>
      </c>
      <c r="B921" s="67"/>
      <c r="C921" s="1532" t="s">
        <v>650</v>
      </c>
      <c r="D921" s="3"/>
      <c r="E921" s="3"/>
      <c r="F921" s="48"/>
      <c r="G921" s="48"/>
      <c r="H921" s="10"/>
      <c r="I921" s="1047" t="s">
        <v>573</v>
      </c>
      <c r="J921" s="1141">
        <f t="shared" si="135"/>
        <v>144100</v>
      </c>
      <c r="K921" s="1358">
        <f t="shared" si="128"/>
        <v>0.25</v>
      </c>
      <c r="L921" s="1348">
        <f t="shared" si="129"/>
        <v>144100.25</v>
      </c>
      <c r="M921" s="1462">
        <f t="shared" si="136"/>
        <v>14.41</v>
      </c>
      <c r="N921" s="1497">
        <f t="shared" si="130"/>
        <v>0.25</v>
      </c>
      <c r="O921" s="1440">
        <f t="shared" si="131"/>
        <v>14.66</v>
      </c>
      <c r="P921" s="23"/>
      <c r="Q921" s="53"/>
      <c r="R921" s="2516"/>
      <c r="S921" s="2516"/>
      <c r="T921" s="2516"/>
      <c r="U921" s="2516"/>
      <c r="V921" s="2516"/>
      <c r="W921" s="2523">
        <f t="shared" si="127"/>
        <v>144120</v>
      </c>
      <c r="X921" s="2543">
        <f t="shared" si="137"/>
        <v>120100</v>
      </c>
      <c r="Y921" s="2516"/>
      <c r="Z921" s="2516"/>
    </row>
    <row r="922" spans="1:26" s="9" customFormat="1" ht="18.75">
      <c r="A922" s="11">
        <v>26</v>
      </c>
      <c r="B922" s="67"/>
      <c r="C922" s="1532" t="s">
        <v>651</v>
      </c>
      <c r="D922" s="3"/>
      <c r="E922" s="3"/>
      <c r="F922" s="48"/>
      <c r="G922" s="48"/>
      <c r="H922" s="10"/>
      <c r="I922" s="1047" t="s">
        <v>573</v>
      </c>
      <c r="J922" s="1141">
        <f t="shared" si="135"/>
        <v>240200</v>
      </c>
      <c r="K922" s="1358">
        <f t="shared" si="128"/>
        <v>0.33999999999999997</v>
      </c>
      <c r="L922" s="1348">
        <f t="shared" si="129"/>
        <v>240200.34</v>
      </c>
      <c r="M922" s="1462">
        <f t="shared" si="136"/>
        <v>24.02</v>
      </c>
      <c r="N922" s="1497">
        <f t="shared" si="130"/>
        <v>0.33999999999999997</v>
      </c>
      <c r="O922" s="1440">
        <f t="shared" si="131"/>
        <v>24.36</v>
      </c>
      <c r="P922" s="23"/>
      <c r="Q922" s="53"/>
      <c r="R922" s="2516"/>
      <c r="S922" s="2516"/>
      <c r="T922" s="2516"/>
      <c r="U922" s="2516"/>
      <c r="V922" s="2516"/>
      <c r="W922" s="2523">
        <f t="shared" si="127"/>
        <v>240240</v>
      </c>
      <c r="X922" s="2543">
        <f t="shared" si="137"/>
        <v>200200</v>
      </c>
      <c r="Y922" s="2516"/>
      <c r="Z922" s="2516"/>
    </row>
    <row r="923" spans="1:26" s="9" customFormat="1" ht="18.75">
      <c r="A923" s="11">
        <v>27</v>
      </c>
      <c r="B923" s="67"/>
      <c r="C923" s="1532" t="s">
        <v>652</v>
      </c>
      <c r="D923" s="3"/>
      <c r="E923" s="3"/>
      <c r="F923" s="48"/>
      <c r="G923" s="48"/>
      <c r="H923" s="10"/>
      <c r="I923" s="1047" t="s">
        <v>573</v>
      </c>
      <c r="J923" s="1141">
        <f t="shared" si="135"/>
        <v>192200</v>
      </c>
      <c r="K923" s="1358">
        <f t="shared" si="128"/>
        <v>0.43000000000000005</v>
      </c>
      <c r="L923" s="1348">
        <f t="shared" si="129"/>
        <v>192200.43</v>
      </c>
      <c r="M923" s="1462">
        <f t="shared" si="136"/>
        <v>19.22</v>
      </c>
      <c r="N923" s="1497">
        <f t="shared" si="130"/>
        <v>0.43000000000000005</v>
      </c>
      <c r="O923" s="1440">
        <f t="shared" si="131"/>
        <v>19.65</v>
      </c>
      <c r="P923" s="23"/>
      <c r="Q923" s="53"/>
      <c r="R923" s="2516"/>
      <c r="S923" s="2516"/>
      <c r="T923" s="2516"/>
      <c r="U923" s="2516"/>
      <c r="V923" s="2516"/>
      <c r="W923" s="2523">
        <f t="shared" si="127"/>
        <v>192240</v>
      </c>
      <c r="X923" s="2543">
        <f t="shared" si="137"/>
        <v>160200</v>
      </c>
      <c r="Y923" s="2516"/>
      <c r="Z923" s="2516"/>
    </row>
    <row r="924" spans="1:26" s="9" customFormat="1" ht="18.75">
      <c r="A924" s="11">
        <v>28</v>
      </c>
      <c r="B924" s="67"/>
      <c r="C924" s="1532" t="s">
        <v>653</v>
      </c>
      <c r="D924" s="3"/>
      <c r="E924" s="3"/>
      <c r="F924" s="48"/>
      <c r="G924" s="48"/>
      <c r="H924" s="10"/>
      <c r="I924" s="1047" t="s">
        <v>573</v>
      </c>
      <c r="J924" s="1141">
        <f t="shared" si="135"/>
        <v>96100</v>
      </c>
      <c r="K924" s="1358">
        <f t="shared" si="128"/>
        <v>0.25</v>
      </c>
      <c r="L924" s="1348">
        <f t="shared" si="129"/>
        <v>96100.25</v>
      </c>
      <c r="M924" s="1462">
        <f t="shared" si="136"/>
        <v>9.61</v>
      </c>
      <c r="N924" s="1497">
        <f t="shared" si="130"/>
        <v>0.25</v>
      </c>
      <c r="O924" s="1440">
        <f t="shared" si="131"/>
        <v>9.86</v>
      </c>
      <c r="P924" s="23"/>
      <c r="Q924" s="53"/>
      <c r="R924" s="2516"/>
      <c r="S924" s="2516"/>
      <c r="T924" s="2516"/>
      <c r="U924" s="2516"/>
      <c r="V924" s="2516"/>
      <c r="W924" s="2523">
        <f t="shared" si="127"/>
        <v>96120</v>
      </c>
      <c r="X924" s="2543">
        <f t="shared" si="137"/>
        <v>80100</v>
      </c>
      <c r="Y924" s="2516"/>
      <c r="Z924" s="2516"/>
    </row>
    <row r="925" spans="1:26" s="9" customFormat="1" ht="18.75">
      <c r="A925" s="11">
        <v>29</v>
      </c>
      <c r="B925" s="67"/>
      <c r="C925" s="1532" t="s">
        <v>654</v>
      </c>
      <c r="D925" s="3"/>
      <c r="E925" s="3"/>
      <c r="F925" s="48"/>
      <c r="G925" s="48"/>
      <c r="H925" s="10"/>
      <c r="I925" s="1047" t="s">
        <v>573</v>
      </c>
      <c r="J925" s="1141">
        <f t="shared" si="135"/>
        <v>96100</v>
      </c>
      <c r="K925" s="1358">
        <f t="shared" si="128"/>
        <v>0.25</v>
      </c>
      <c r="L925" s="1348">
        <f t="shared" si="129"/>
        <v>96100.25</v>
      </c>
      <c r="M925" s="1462">
        <f t="shared" si="136"/>
        <v>9.61</v>
      </c>
      <c r="N925" s="1497">
        <f t="shared" si="130"/>
        <v>0.25</v>
      </c>
      <c r="O925" s="1440">
        <f t="shared" si="131"/>
        <v>9.86</v>
      </c>
      <c r="P925" s="23"/>
      <c r="Q925" s="53"/>
      <c r="R925" s="2516"/>
      <c r="S925" s="2516"/>
      <c r="T925" s="2516"/>
      <c r="U925" s="2516"/>
      <c r="V925" s="2516"/>
      <c r="W925" s="2523">
        <f t="shared" si="127"/>
        <v>96120</v>
      </c>
      <c r="X925" s="2543">
        <f t="shared" si="137"/>
        <v>80100</v>
      </c>
      <c r="Y925" s="2516"/>
      <c r="Z925" s="2516"/>
    </row>
    <row r="926" spans="1:26" s="9" customFormat="1" ht="18.75">
      <c r="A926" s="11">
        <v>30</v>
      </c>
      <c r="B926" s="67"/>
      <c r="C926" s="1532" t="s">
        <v>655</v>
      </c>
      <c r="D926" s="3"/>
      <c r="E926" s="3"/>
      <c r="F926" s="48"/>
      <c r="G926" s="48"/>
      <c r="H926" s="10"/>
      <c r="I926" s="1047" t="s">
        <v>573</v>
      </c>
      <c r="J926" s="1141">
        <f t="shared" si="135"/>
        <v>48000</v>
      </c>
      <c r="K926" s="1358">
        <f t="shared" si="128"/>
        <v>0.09</v>
      </c>
      <c r="L926" s="1348">
        <f t="shared" si="129"/>
        <v>48000.09</v>
      </c>
      <c r="M926" s="1462">
        <f t="shared" si="136"/>
        <v>4.8</v>
      </c>
      <c r="N926" s="1497">
        <f t="shared" si="130"/>
        <v>0.09</v>
      </c>
      <c r="O926" s="1440">
        <f t="shared" si="131"/>
        <v>4.89</v>
      </c>
      <c r="P926" s="23"/>
      <c r="Q926" s="53"/>
      <c r="R926" s="2516"/>
      <c r="S926" s="2516"/>
      <c r="T926" s="2516"/>
      <c r="U926" s="2516"/>
      <c r="V926" s="2516"/>
      <c r="W926" s="2523">
        <f t="shared" si="127"/>
        <v>48000</v>
      </c>
      <c r="X926" s="2543">
        <f t="shared" si="137"/>
        <v>40000</v>
      </c>
      <c r="Y926" s="2516"/>
      <c r="Z926" s="2516"/>
    </row>
    <row r="927" spans="1:26" s="9" customFormat="1" ht="18.75">
      <c r="A927" s="11">
        <v>31</v>
      </c>
      <c r="B927" s="67"/>
      <c r="C927" s="1532" t="s">
        <v>661</v>
      </c>
      <c r="D927" s="3"/>
      <c r="E927" s="3"/>
      <c r="F927" s="48"/>
      <c r="G927" s="48"/>
      <c r="H927" s="10"/>
      <c r="I927" s="1047" t="s">
        <v>573</v>
      </c>
      <c r="J927" s="1141">
        <v>639800</v>
      </c>
      <c r="K927" s="1358">
        <f t="shared" si="128"/>
        <v>16.19</v>
      </c>
      <c r="L927" s="1348">
        <f t="shared" si="129"/>
        <v>639816.19</v>
      </c>
      <c r="M927" s="1486">
        <f>J927/10000</f>
        <v>63.98</v>
      </c>
      <c r="N927" s="1497">
        <f t="shared" si="130"/>
        <v>16.19</v>
      </c>
      <c r="O927" s="1440">
        <f t="shared" si="131"/>
        <v>80.17</v>
      </c>
      <c r="P927" s="23"/>
      <c r="Q927" s="53"/>
      <c r="R927" s="2516"/>
      <c r="S927" s="2516"/>
      <c r="T927" s="2516"/>
      <c r="U927" s="2516"/>
      <c r="V927" s="2516"/>
      <c r="W927" s="2523">
        <f t="shared" si="127"/>
        <v>639840</v>
      </c>
      <c r="X927" s="2543">
        <v>533200</v>
      </c>
      <c r="Y927" s="2516"/>
      <c r="Z927" s="2516"/>
    </row>
    <row r="928" spans="1:26" s="9" customFormat="1" ht="18.75">
      <c r="A928" s="11">
        <v>32</v>
      </c>
      <c r="B928" s="67"/>
      <c r="C928" s="1532" t="s">
        <v>662</v>
      </c>
      <c r="D928" s="3"/>
      <c r="E928" s="3"/>
      <c r="F928" s="48"/>
      <c r="G928" s="48"/>
      <c r="H928" s="10"/>
      <c r="I928" s="1047" t="s">
        <v>573</v>
      </c>
      <c r="J928" s="1141">
        <v>820300</v>
      </c>
      <c r="K928" s="1358">
        <f t="shared" si="128"/>
        <v>21.146</v>
      </c>
      <c r="L928" s="1348">
        <f t="shared" si="129"/>
        <v>820321.146</v>
      </c>
      <c r="M928" s="1486">
        <f>J928/10000</f>
        <v>82.03</v>
      </c>
      <c r="N928" s="1497">
        <f t="shared" si="130"/>
        <v>21.146</v>
      </c>
      <c r="O928" s="1440">
        <f t="shared" si="131"/>
        <v>103.176</v>
      </c>
      <c r="P928" s="23"/>
      <c r="Q928" s="53"/>
      <c r="R928" s="2516"/>
      <c r="S928" s="2516"/>
      <c r="T928" s="2516"/>
      <c r="U928" s="2516"/>
      <c r="V928" s="2516"/>
      <c r="W928" s="2523">
        <f t="shared" si="127"/>
        <v>820320</v>
      </c>
      <c r="X928" s="2543">
        <v>683600</v>
      </c>
      <c r="Y928" s="2516"/>
      <c r="Z928" s="2516"/>
    </row>
    <row r="929" spans="1:26" s="9" customFormat="1" ht="18.75">
      <c r="A929" s="11">
        <v>33</v>
      </c>
      <c r="B929" s="67"/>
      <c r="C929" s="1532" t="s">
        <v>663</v>
      </c>
      <c r="D929" s="3"/>
      <c r="E929" s="3"/>
      <c r="F929" s="48"/>
      <c r="G929" s="48"/>
      <c r="H929" s="10"/>
      <c r="I929" s="1047" t="s">
        <v>573</v>
      </c>
      <c r="J929" s="1141">
        <v>410200</v>
      </c>
      <c r="K929" s="1358">
        <f t="shared" si="128"/>
        <v>0.51</v>
      </c>
      <c r="L929" s="1348">
        <f t="shared" si="129"/>
        <v>410200.51</v>
      </c>
      <c r="M929" s="1486">
        <f>J929/10000</f>
        <v>41.02</v>
      </c>
      <c r="N929" s="1497">
        <f t="shared" si="130"/>
        <v>0.51</v>
      </c>
      <c r="O929" s="1440">
        <f t="shared" si="131"/>
        <v>41.53</v>
      </c>
      <c r="P929" s="23"/>
      <c r="Q929" s="53"/>
      <c r="R929" s="2516"/>
      <c r="S929" s="2516"/>
      <c r="T929" s="2516"/>
      <c r="U929" s="2516"/>
      <c r="V929" s="2516"/>
      <c r="W929" s="2523">
        <f t="shared" si="127"/>
        <v>410160</v>
      </c>
      <c r="X929" s="2543">
        <v>341800</v>
      </c>
      <c r="Y929" s="2516"/>
      <c r="Z929" s="2516"/>
    </row>
    <row r="930" spans="1:26" s="9" customFormat="1" ht="18.75">
      <c r="A930" s="11">
        <v>34</v>
      </c>
      <c r="B930" s="67"/>
      <c r="C930" s="1532" t="s">
        <v>664</v>
      </c>
      <c r="D930" s="3"/>
      <c r="E930" s="3"/>
      <c r="F930" s="48"/>
      <c r="G930" s="48"/>
      <c r="H930" s="10"/>
      <c r="I930" s="1047" t="s">
        <v>573</v>
      </c>
      <c r="J930" s="1141">
        <v>410200</v>
      </c>
      <c r="K930" s="1358">
        <f t="shared" si="128"/>
        <v>0.888</v>
      </c>
      <c r="L930" s="1348">
        <f t="shared" si="129"/>
        <v>410200.888</v>
      </c>
      <c r="M930" s="1486">
        <f>J930/10000</f>
        <v>41.02</v>
      </c>
      <c r="N930" s="1497">
        <f t="shared" si="130"/>
        <v>0.888</v>
      </c>
      <c r="O930" s="1440">
        <f t="shared" si="131"/>
        <v>41.908</v>
      </c>
      <c r="P930" s="23"/>
      <c r="Q930" s="53"/>
      <c r="R930" s="2516"/>
      <c r="S930" s="2516"/>
      <c r="T930" s="2516"/>
      <c r="U930" s="2516"/>
      <c r="V930" s="2516"/>
      <c r="W930" s="2523">
        <f t="shared" si="127"/>
        <v>410160</v>
      </c>
      <c r="X930" s="2543">
        <v>341800</v>
      </c>
      <c r="Y930" s="2516"/>
      <c r="Z930" s="2516"/>
    </row>
    <row r="931" spans="1:26" s="9" customFormat="1" ht="18.75">
      <c r="A931" s="11">
        <v>35</v>
      </c>
      <c r="B931" s="67"/>
      <c r="C931" s="1532" t="s">
        <v>665</v>
      </c>
      <c r="D931" s="3"/>
      <c r="E931" s="3"/>
      <c r="F931" s="48"/>
      <c r="G931" s="48"/>
      <c r="H931" s="10"/>
      <c r="I931" s="1047" t="s">
        <v>573</v>
      </c>
      <c r="J931" s="1141">
        <v>615200</v>
      </c>
      <c r="K931" s="1358">
        <f t="shared" si="128"/>
        <v>15.386</v>
      </c>
      <c r="L931" s="1348">
        <f t="shared" si="129"/>
        <v>615215.386</v>
      </c>
      <c r="M931" s="1486">
        <f>J931/10000</f>
        <v>61.52</v>
      </c>
      <c r="N931" s="1497">
        <f t="shared" si="130"/>
        <v>15.386</v>
      </c>
      <c r="O931" s="1440">
        <f t="shared" si="131"/>
        <v>76.906</v>
      </c>
      <c r="P931" s="23"/>
      <c r="Q931" s="53"/>
      <c r="R931" s="2516"/>
      <c r="S931" s="2516"/>
      <c r="T931" s="2516"/>
      <c r="U931" s="2516"/>
      <c r="V931" s="2516"/>
      <c r="W931" s="2523">
        <f t="shared" si="127"/>
        <v>615240</v>
      </c>
      <c r="X931" s="2543">
        <v>512700</v>
      </c>
      <c r="Y931" s="2516"/>
      <c r="Z931" s="2516"/>
    </row>
    <row r="932" spans="1:26" s="9" customFormat="1" ht="18.75">
      <c r="A932" s="11">
        <v>36</v>
      </c>
      <c r="B932" s="67"/>
      <c r="C932" s="1532" t="s">
        <v>656</v>
      </c>
      <c r="D932" s="3"/>
      <c r="E932" s="3"/>
      <c r="F932" s="48"/>
      <c r="G932" s="48"/>
      <c r="H932" s="10"/>
      <c r="I932" s="1047" t="s">
        <v>573</v>
      </c>
      <c r="J932" s="1141">
        <f>J886</f>
        <v>192200</v>
      </c>
      <c r="K932" s="1358"/>
      <c r="L932" s="1348">
        <f t="shared" si="129"/>
        <v>192200</v>
      </c>
      <c r="M932" s="1462">
        <f>M886</f>
        <v>19.22</v>
      </c>
      <c r="N932" s="1497"/>
      <c r="O932" s="1440">
        <f t="shared" si="131"/>
        <v>19.22</v>
      </c>
      <c r="P932" s="23"/>
      <c r="Q932" s="53"/>
      <c r="R932" s="2516"/>
      <c r="S932" s="2516"/>
      <c r="T932" s="2516"/>
      <c r="U932" s="2516"/>
      <c r="V932" s="2516"/>
      <c r="W932" s="2523">
        <f t="shared" si="127"/>
        <v>192240</v>
      </c>
      <c r="X932" s="2543">
        <f>X886</f>
        <v>160200</v>
      </c>
      <c r="Y932" s="2516"/>
      <c r="Z932" s="2516"/>
    </row>
    <row r="933" spans="1:26" s="9" customFormat="1" ht="18">
      <c r="A933" s="68"/>
      <c r="B933" s="67"/>
      <c r="C933" s="1532" t="s">
        <v>657</v>
      </c>
      <c r="D933" s="3"/>
      <c r="E933" s="3"/>
      <c r="F933" s="48"/>
      <c r="G933" s="48"/>
      <c r="H933" s="10"/>
      <c r="I933" s="41"/>
      <c r="J933" s="1141"/>
      <c r="K933" s="1354"/>
      <c r="L933" s="1326"/>
      <c r="M933" s="1462"/>
      <c r="N933" s="1474"/>
      <c r="O933" s="1442"/>
      <c r="P933" s="23"/>
      <c r="Q933" s="53"/>
      <c r="R933" s="2516"/>
      <c r="S933" s="2516"/>
      <c r="T933" s="2516"/>
      <c r="U933" s="2516"/>
      <c r="V933" s="2516"/>
      <c r="W933" s="2523">
        <f t="shared" si="127"/>
        <v>0</v>
      </c>
      <c r="X933" s="2543"/>
      <c r="Y933" s="2516"/>
      <c r="Z933" s="2516"/>
    </row>
    <row r="934" spans="1:26" s="9" customFormat="1" ht="18">
      <c r="A934" s="68"/>
      <c r="B934" s="67"/>
      <c r="C934" s="26"/>
      <c r="D934" s="3"/>
      <c r="E934" s="3"/>
      <c r="F934" s="48"/>
      <c r="G934" s="48"/>
      <c r="H934" s="10"/>
      <c r="I934" s="41"/>
      <c r="J934" s="1141"/>
      <c r="K934" s="1354"/>
      <c r="L934" s="1326"/>
      <c r="M934" s="1462"/>
      <c r="N934" s="1474"/>
      <c r="O934" s="1442"/>
      <c r="P934" s="23"/>
      <c r="Q934" s="53"/>
      <c r="R934" s="2516"/>
      <c r="S934" s="2516"/>
      <c r="T934" s="2516"/>
      <c r="U934" s="2516"/>
      <c r="V934" s="2516"/>
      <c r="W934" s="2523">
        <f t="shared" si="127"/>
        <v>0</v>
      </c>
      <c r="X934" s="2543"/>
      <c r="Y934" s="2516"/>
      <c r="Z934" s="2516"/>
    </row>
    <row r="935" spans="1:26" s="9" customFormat="1" ht="18">
      <c r="A935" s="68"/>
      <c r="B935" s="499" t="s">
        <v>622</v>
      </c>
      <c r="C935" s="500" t="s">
        <v>388</v>
      </c>
      <c r="D935" s="3"/>
      <c r="E935" s="3"/>
      <c r="F935" s="48"/>
      <c r="G935" s="48"/>
      <c r="H935" s="10"/>
      <c r="I935" s="41"/>
      <c r="J935" s="1141"/>
      <c r="K935" s="1347"/>
      <c r="L935" s="1326"/>
      <c r="M935" s="1462"/>
      <c r="N935" s="1465"/>
      <c r="O935" s="1442"/>
      <c r="P935" s="23"/>
      <c r="Q935" s="53"/>
      <c r="R935" s="2516"/>
      <c r="S935" s="2516"/>
      <c r="T935" s="2516"/>
      <c r="U935" s="2516"/>
      <c r="V935" s="2516"/>
      <c r="W935" s="2523">
        <f t="shared" si="127"/>
        <v>0</v>
      </c>
      <c r="X935" s="2543"/>
      <c r="Y935" s="2516"/>
      <c r="Z935" s="2516"/>
    </row>
    <row r="936" spans="1:26" s="9" customFormat="1" ht="18.75">
      <c r="A936" s="68" t="s">
        <v>781</v>
      </c>
      <c r="B936" s="67"/>
      <c r="C936" s="1544" t="s">
        <v>389</v>
      </c>
      <c r="D936" s="639"/>
      <c r="E936" s="639"/>
      <c r="F936" s="640"/>
      <c r="G936" s="640"/>
      <c r="H936" s="724"/>
      <c r="I936" s="1046" t="s">
        <v>573</v>
      </c>
      <c r="J936" s="1142">
        <v>144100</v>
      </c>
      <c r="K936" s="1359">
        <f>'[1]диагн.'!$G$992</f>
        <v>0.64</v>
      </c>
      <c r="L936" s="1338">
        <f>SUM(J936:K936)</f>
        <v>144100.64</v>
      </c>
      <c r="M936" s="1486">
        <f>J936/10000</f>
        <v>14.41</v>
      </c>
      <c r="N936" s="1498">
        <f>K936</f>
        <v>0.64</v>
      </c>
      <c r="O936" s="1456">
        <f>SUM(M936:N936)</f>
        <v>15.05</v>
      </c>
      <c r="P936" s="23"/>
      <c r="Q936" s="53"/>
      <c r="R936" s="2516"/>
      <c r="S936" s="2516"/>
      <c r="T936" s="2516"/>
      <c r="U936" s="2516"/>
      <c r="V936" s="2516"/>
      <c r="W936" s="2523">
        <f t="shared" si="127"/>
        <v>144120</v>
      </c>
      <c r="X936" s="2543">
        <v>120100</v>
      </c>
      <c r="Y936" s="2516"/>
      <c r="Z936" s="2516"/>
    </row>
    <row r="937" spans="1:26" s="9" customFormat="1" ht="18">
      <c r="A937" s="68"/>
      <c r="B937" s="67"/>
      <c r="C937" s="26"/>
      <c r="D937" s="3"/>
      <c r="E937" s="3"/>
      <c r="F937" s="48"/>
      <c r="G937" s="48"/>
      <c r="H937" s="10"/>
      <c r="I937" s="1047"/>
      <c r="J937" s="1141"/>
      <c r="K937" s="1354"/>
      <c r="L937" s="1326"/>
      <c r="M937" s="1462"/>
      <c r="N937" s="1474"/>
      <c r="O937" s="1442"/>
      <c r="P937" s="23"/>
      <c r="Q937" s="53"/>
      <c r="R937" s="2516"/>
      <c r="S937" s="2516"/>
      <c r="T937" s="2516"/>
      <c r="U937" s="2516"/>
      <c r="V937" s="2516"/>
      <c r="W937" s="2523">
        <f t="shared" si="127"/>
        <v>0</v>
      </c>
      <c r="X937" s="2543"/>
      <c r="Y937" s="2516"/>
      <c r="Z937" s="2516"/>
    </row>
    <row r="938" spans="1:26" s="9" customFormat="1" ht="18.75">
      <c r="A938" s="69">
        <v>10</v>
      </c>
      <c r="B938" s="91" t="s">
        <v>236</v>
      </c>
      <c r="C938" s="1024"/>
      <c r="D938" s="71"/>
      <c r="E938" s="71"/>
      <c r="F938" s="72"/>
      <c r="G938" s="73"/>
      <c r="H938" s="73"/>
      <c r="I938" s="1047"/>
      <c r="J938" s="1141"/>
      <c r="K938" s="1354"/>
      <c r="L938" s="1326"/>
      <c r="M938" s="1462"/>
      <c r="N938" s="1474"/>
      <c r="O938" s="1442"/>
      <c r="P938" s="23"/>
      <c r="Q938" s="53"/>
      <c r="R938" s="2516"/>
      <c r="S938" s="2516"/>
      <c r="T938" s="2516"/>
      <c r="U938" s="2516"/>
      <c r="V938" s="2516"/>
      <c r="W938" s="2523">
        <f t="shared" si="127"/>
        <v>0</v>
      </c>
      <c r="X938" s="2543"/>
      <c r="Y938" s="2516"/>
      <c r="Z938" s="2516"/>
    </row>
    <row r="939" spans="1:26" s="9" customFormat="1" ht="18">
      <c r="A939" s="69"/>
      <c r="B939" s="70" t="s">
        <v>666</v>
      </c>
      <c r="C939" s="1556"/>
      <c r="D939" s="71"/>
      <c r="E939" s="71"/>
      <c r="F939" s="72"/>
      <c r="G939" s="73"/>
      <c r="H939" s="73"/>
      <c r="I939" s="1047"/>
      <c r="J939" s="1141"/>
      <c r="K939" s="1354"/>
      <c r="L939" s="1326"/>
      <c r="M939" s="1462"/>
      <c r="N939" s="1474"/>
      <c r="O939" s="1442"/>
      <c r="P939" s="23"/>
      <c r="Q939" s="53"/>
      <c r="R939" s="2516"/>
      <c r="S939" s="2516"/>
      <c r="T939" s="2516"/>
      <c r="U939" s="2516"/>
      <c r="V939" s="2516"/>
      <c r="W939" s="2523">
        <f t="shared" si="127"/>
        <v>0</v>
      </c>
      <c r="X939" s="2543"/>
      <c r="Y939" s="2516"/>
      <c r="Z939" s="2516"/>
    </row>
    <row r="940" spans="1:26" s="9" customFormat="1" ht="18">
      <c r="A940" s="69"/>
      <c r="B940" s="70" t="s">
        <v>667</v>
      </c>
      <c r="C940" s="1556"/>
      <c r="D940" s="71"/>
      <c r="E940" s="71"/>
      <c r="F940" s="72"/>
      <c r="G940" s="73"/>
      <c r="H940" s="73"/>
      <c r="I940" s="1047"/>
      <c r="J940" s="1141"/>
      <c r="K940" s="1354"/>
      <c r="L940" s="1326"/>
      <c r="M940" s="1462"/>
      <c r="N940" s="1474"/>
      <c r="O940" s="1442"/>
      <c r="P940" s="23"/>
      <c r="Q940" s="53"/>
      <c r="R940" s="2516"/>
      <c r="S940" s="2516"/>
      <c r="T940" s="2516"/>
      <c r="U940" s="2516"/>
      <c r="V940" s="2516"/>
      <c r="W940" s="2523">
        <f t="shared" si="127"/>
        <v>0</v>
      </c>
      <c r="X940" s="2543"/>
      <c r="Y940" s="2516"/>
      <c r="Z940" s="2516"/>
    </row>
    <row r="941" spans="1:26" s="9" customFormat="1" ht="18">
      <c r="A941" s="74">
        <v>1</v>
      </c>
      <c r="B941" s="75"/>
      <c r="C941" s="126" t="s">
        <v>668</v>
      </c>
      <c r="D941" s="17"/>
      <c r="E941" s="72"/>
      <c r="F941" s="73"/>
      <c r="G941" s="73"/>
      <c r="H941" s="17"/>
      <c r="I941" s="1047"/>
      <c r="J941" s="1141"/>
      <c r="K941" s="1354"/>
      <c r="L941" s="1326"/>
      <c r="M941" s="1462"/>
      <c r="N941" s="1474"/>
      <c r="O941" s="1442"/>
      <c r="P941" s="23"/>
      <c r="Q941" s="53"/>
      <c r="R941" s="2516"/>
      <c r="S941" s="2516"/>
      <c r="T941" s="2516"/>
      <c r="U941" s="2516"/>
      <c r="V941" s="2516"/>
      <c r="W941" s="2523">
        <f t="shared" si="127"/>
        <v>0</v>
      </c>
      <c r="X941" s="2543"/>
      <c r="Y941" s="2516"/>
      <c r="Z941" s="2516"/>
    </row>
    <row r="942" spans="1:26" s="9" customFormat="1" ht="18.75">
      <c r="A942" s="74"/>
      <c r="B942" s="75"/>
      <c r="C942" s="126" t="s">
        <v>669</v>
      </c>
      <c r="D942" s="17"/>
      <c r="E942" s="72"/>
      <c r="F942" s="73"/>
      <c r="G942" s="73"/>
      <c r="H942" s="17"/>
      <c r="I942" s="1047" t="s">
        <v>573</v>
      </c>
      <c r="J942" s="1141">
        <v>370800</v>
      </c>
      <c r="K942" s="1360">
        <f>K381</f>
        <v>5.17</v>
      </c>
      <c r="L942" s="1348">
        <f>SUM(J942:K942)</f>
        <v>370805.17</v>
      </c>
      <c r="M942" s="1486">
        <f>J942/10000</f>
        <v>37.08</v>
      </c>
      <c r="N942" s="1499">
        <f>N381</f>
        <v>5.17</v>
      </c>
      <c r="O942" s="1440">
        <f>SUM(M942:N942)</f>
        <v>42.25</v>
      </c>
      <c r="P942" s="23"/>
      <c r="Q942" s="53"/>
      <c r="R942" s="2516"/>
      <c r="S942" s="2516"/>
      <c r="T942" s="2516"/>
      <c r="U942" s="2516"/>
      <c r="V942" s="2516"/>
      <c r="W942" s="2523">
        <f t="shared" si="127"/>
        <v>370800</v>
      </c>
      <c r="X942" s="2543">
        <v>309000</v>
      </c>
      <c r="Y942" s="2516"/>
      <c r="Z942" s="2516"/>
    </row>
    <row r="943" spans="1:26" s="9" customFormat="1" ht="18">
      <c r="A943" s="74">
        <v>2</v>
      </c>
      <c r="B943" s="75"/>
      <c r="C943" s="126" t="s">
        <v>668</v>
      </c>
      <c r="D943" s="17"/>
      <c r="E943" s="76"/>
      <c r="F943" s="77"/>
      <c r="G943" s="77"/>
      <c r="H943" s="17"/>
      <c r="I943" s="1047"/>
      <c r="J943" s="1141"/>
      <c r="K943" s="1360"/>
      <c r="L943" s="1361"/>
      <c r="M943" s="1462"/>
      <c r="N943" s="1499"/>
      <c r="O943" s="1442"/>
      <c r="P943" s="23"/>
      <c r="Q943" s="53"/>
      <c r="R943" s="2516"/>
      <c r="S943" s="2516"/>
      <c r="T943" s="2516"/>
      <c r="U943" s="2516"/>
      <c r="V943" s="2516"/>
      <c r="W943" s="2523">
        <f t="shared" si="127"/>
        <v>0</v>
      </c>
      <c r="X943" s="2543"/>
      <c r="Y943" s="2516"/>
      <c r="Z943" s="2516"/>
    </row>
    <row r="944" spans="1:26" s="9" customFormat="1" ht="18.75">
      <c r="A944" s="74"/>
      <c r="B944" s="75"/>
      <c r="C944" s="126" t="s">
        <v>670</v>
      </c>
      <c r="D944" s="17"/>
      <c r="E944" s="76"/>
      <c r="F944" s="77"/>
      <c r="G944" s="77"/>
      <c r="H944" s="17"/>
      <c r="I944" s="1047" t="s">
        <v>573</v>
      </c>
      <c r="J944" s="1141">
        <v>559200</v>
      </c>
      <c r="K944" s="1360">
        <f>K383</f>
        <v>76.967</v>
      </c>
      <c r="L944" s="1348">
        <f>SUM(J944:K944)</f>
        <v>559276.967</v>
      </c>
      <c r="M944" s="1486">
        <f>J944/10000</f>
        <v>55.92</v>
      </c>
      <c r="N944" s="1499">
        <f>N383</f>
        <v>76.967</v>
      </c>
      <c r="O944" s="1440">
        <f>SUM(M944:N944)</f>
        <v>132.887</v>
      </c>
      <c r="P944" s="23"/>
      <c r="Q944" s="53"/>
      <c r="R944" s="2516"/>
      <c r="S944" s="2516"/>
      <c r="T944" s="2516"/>
      <c r="U944" s="2516"/>
      <c r="V944" s="2516"/>
      <c r="W944" s="2523">
        <f t="shared" si="127"/>
        <v>559200</v>
      </c>
      <c r="X944" s="2543">
        <v>466000</v>
      </c>
      <c r="Y944" s="2516"/>
      <c r="Z944" s="2516"/>
    </row>
    <row r="945" spans="1:26" s="9" customFormat="1" ht="18">
      <c r="A945" s="74">
        <v>3</v>
      </c>
      <c r="B945" s="75"/>
      <c r="C945" s="126" t="s">
        <v>671</v>
      </c>
      <c r="D945" s="17"/>
      <c r="E945" s="76"/>
      <c r="F945" s="77"/>
      <c r="G945" s="77"/>
      <c r="H945" s="17"/>
      <c r="I945" s="1047"/>
      <c r="J945" s="1141"/>
      <c r="K945" s="1360"/>
      <c r="L945" s="1361"/>
      <c r="M945" s="1462"/>
      <c r="N945" s="1499"/>
      <c r="O945" s="1442"/>
      <c r="P945" s="23"/>
      <c r="Q945" s="53"/>
      <c r="R945" s="2516"/>
      <c r="S945" s="2516"/>
      <c r="T945" s="2516"/>
      <c r="U945" s="2516"/>
      <c r="V945" s="2516"/>
      <c r="W945" s="2523">
        <f t="shared" si="127"/>
        <v>0</v>
      </c>
      <c r="X945" s="2543"/>
      <c r="Y945" s="2516"/>
      <c r="Z945" s="2516"/>
    </row>
    <row r="946" spans="1:26" s="9" customFormat="1" ht="18.75">
      <c r="A946" s="74"/>
      <c r="B946" s="75"/>
      <c r="C946" s="126" t="s">
        <v>669</v>
      </c>
      <c r="D946" s="17"/>
      <c r="E946" s="76"/>
      <c r="F946" s="77"/>
      <c r="G946" s="77"/>
      <c r="H946" s="17"/>
      <c r="I946" s="1047" t="s">
        <v>573</v>
      </c>
      <c r="J946" s="1141">
        <v>296600</v>
      </c>
      <c r="K946" s="1360">
        <f>K385</f>
        <v>5.17</v>
      </c>
      <c r="L946" s="1348">
        <f>SUM(J946:K946)</f>
        <v>296605.17</v>
      </c>
      <c r="M946" s="1486">
        <f>J946/10000</f>
        <v>29.66</v>
      </c>
      <c r="N946" s="1499">
        <f>N385</f>
        <v>5.17</v>
      </c>
      <c r="O946" s="1440">
        <f>SUM(M946:N946)</f>
        <v>34.83</v>
      </c>
      <c r="P946" s="23"/>
      <c r="Q946" s="53"/>
      <c r="R946" s="2516"/>
      <c r="S946" s="2516"/>
      <c r="T946" s="2516"/>
      <c r="U946" s="2516"/>
      <c r="V946" s="2516"/>
      <c r="W946" s="2523">
        <f t="shared" si="127"/>
        <v>296640</v>
      </c>
      <c r="X946" s="2543">
        <v>247200</v>
      </c>
      <c r="Y946" s="2516"/>
      <c r="Z946" s="2516"/>
    </row>
    <row r="947" spans="1:26" s="9" customFormat="1" ht="18">
      <c r="A947" s="74">
        <v>4</v>
      </c>
      <c r="B947" s="75"/>
      <c r="C947" s="126" t="s">
        <v>671</v>
      </c>
      <c r="D947" s="17"/>
      <c r="E947" s="76"/>
      <c r="F947" s="77"/>
      <c r="G947" s="77"/>
      <c r="H947" s="17"/>
      <c r="I947" s="1047"/>
      <c r="J947" s="1141"/>
      <c r="K947" s="1360"/>
      <c r="L947" s="1361"/>
      <c r="M947" s="1462"/>
      <c r="N947" s="1499"/>
      <c r="O947" s="1442"/>
      <c r="P947" s="23"/>
      <c r="Q947" s="53"/>
      <c r="R947" s="2516"/>
      <c r="S947" s="2516"/>
      <c r="T947" s="2516"/>
      <c r="U947" s="2516"/>
      <c r="V947" s="2516"/>
      <c r="W947" s="2523">
        <f t="shared" si="127"/>
        <v>0</v>
      </c>
      <c r="X947" s="2543"/>
      <c r="Y947" s="2516"/>
      <c r="Z947" s="2516"/>
    </row>
    <row r="948" spans="1:26" s="9" customFormat="1" ht="18.75">
      <c r="A948" s="74"/>
      <c r="B948" s="75"/>
      <c r="C948" s="126" t="s">
        <v>670</v>
      </c>
      <c r="D948" s="17"/>
      <c r="E948" s="76"/>
      <c r="F948" s="77"/>
      <c r="G948" s="77"/>
      <c r="H948" s="17"/>
      <c r="I948" s="1047" t="s">
        <v>573</v>
      </c>
      <c r="J948" s="1141">
        <v>447400</v>
      </c>
      <c r="K948" s="1360">
        <f>K387</f>
        <v>76.967</v>
      </c>
      <c r="L948" s="1348">
        <f>SUM(J948:K948)</f>
        <v>447476.967</v>
      </c>
      <c r="M948" s="1486">
        <f>J948/10000</f>
        <v>44.74</v>
      </c>
      <c r="N948" s="1499">
        <f>N387</f>
        <v>76.967</v>
      </c>
      <c r="O948" s="1440">
        <f>SUM(M948:N948)</f>
        <v>121.707</v>
      </c>
      <c r="P948" s="23"/>
      <c r="Q948" s="53"/>
      <c r="R948" s="2516"/>
      <c r="S948" s="2516"/>
      <c r="T948" s="2516"/>
      <c r="U948" s="2516"/>
      <c r="V948" s="2516"/>
      <c r="W948" s="2523">
        <f t="shared" si="127"/>
        <v>447360</v>
      </c>
      <c r="X948" s="2543">
        <v>372800</v>
      </c>
      <c r="Y948" s="2516"/>
      <c r="Z948" s="2516"/>
    </row>
    <row r="949" spans="1:26" s="9" customFormat="1" ht="18">
      <c r="A949" s="74">
        <v>5</v>
      </c>
      <c r="B949" s="75"/>
      <c r="C949" s="126" t="s">
        <v>672</v>
      </c>
      <c r="D949" s="17"/>
      <c r="E949" s="76"/>
      <c r="F949" s="77"/>
      <c r="G949" s="77"/>
      <c r="H949" s="17"/>
      <c r="I949" s="1047"/>
      <c r="J949" s="1141"/>
      <c r="K949" s="1360"/>
      <c r="L949" s="1361"/>
      <c r="M949" s="1462"/>
      <c r="N949" s="1499"/>
      <c r="O949" s="1442"/>
      <c r="P949" s="23"/>
      <c r="Q949" s="53"/>
      <c r="R949" s="2516"/>
      <c r="S949" s="2516"/>
      <c r="T949" s="2516"/>
      <c r="U949" s="2516"/>
      <c r="V949" s="2516"/>
      <c r="W949" s="2523">
        <f t="shared" si="127"/>
        <v>0</v>
      </c>
      <c r="X949" s="2543"/>
      <c r="Y949" s="2516"/>
      <c r="Z949" s="2516"/>
    </row>
    <row r="950" spans="1:26" s="9" customFormat="1" ht="18.75">
      <c r="A950" s="74"/>
      <c r="B950" s="75"/>
      <c r="C950" s="126" t="s">
        <v>669</v>
      </c>
      <c r="D950" s="17"/>
      <c r="E950" s="76"/>
      <c r="F950" s="77"/>
      <c r="G950" s="77"/>
      <c r="H950" s="17"/>
      <c r="I950" s="1047" t="s">
        <v>573</v>
      </c>
      <c r="J950" s="1141">
        <v>370800</v>
      </c>
      <c r="K950" s="1360">
        <f>K389</f>
        <v>5.17</v>
      </c>
      <c r="L950" s="1348">
        <f>SUM(J950:K950)</f>
        <v>370805.17</v>
      </c>
      <c r="M950" s="1486">
        <f>J950/10000</f>
        <v>37.08</v>
      </c>
      <c r="N950" s="1499">
        <f>N389</f>
        <v>5.17</v>
      </c>
      <c r="O950" s="1440">
        <f>SUM(M950:N950)</f>
        <v>42.25</v>
      </c>
      <c r="P950" s="23"/>
      <c r="Q950" s="53"/>
      <c r="R950" s="2516"/>
      <c r="S950" s="2516"/>
      <c r="T950" s="2516"/>
      <c r="U950" s="2516"/>
      <c r="V950" s="2516"/>
      <c r="W950" s="2523">
        <f t="shared" si="127"/>
        <v>370800</v>
      </c>
      <c r="X950" s="2543">
        <v>309000</v>
      </c>
      <c r="Y950" s="2516"/>
      <c r="Z950" s="2516"/>
    </row>
    <row r="951" spans="1:26" s="9" customFormat="1" ht="18">
      <c r="A951" s="74">
        <v>6</v>
      </c>
      <c r="B951" s="75"/>
      <c r="C951" s="126" t="s">
        <v>672</v>
      </c>
      <c r="D951" s="17"/>
      <c r="E951" s="76"/>
      <c r="F951" s="77"/>
      <c r="G951" s="77"/>
      <c r="H951" s="17"/>
      <c r="I951" s="1047"/>
      <c r="J951" s="1141"/>
      <c r="K951" s="1360"/>
      <c r="L951" s="1361"/>
      <c r="M951" s="1462"/>
      <c r="N951" s="1499"/>
      <c r="O951" s="1442"/>
      <c r="P951" s="23"/>
      <c r="Q951" s="53"/>
      <c r="R951" s="2516"/>
      <c r="S951" s="2516"/>
      <c r="T951" s="2516"/>
      <c r="U951" s="2516"/>
      <c r="V951" s="2516"/>
      <c r="W951" s="2523">
        <f aca="true" t="shared" si="138" ref="W951:W1014">X951*1.2</f>
        <v>0</v>
      </c>
      <c r="X951" s="2543"/>
      <c r="Y951" s="2516"/>
      <c r="Z951" s="2516"/>
    </row>
    <row r="952" spans="1:26" s="9" customFormat="1" ht="18.75">
      <c r="A952" s="74"/>
      <c r="B952" s="75"/>
      <c r="C952" s="126" t="s">
        <v>670</v>
      </c>
      <c r="D952" s="17"/>
      <c r="E952" s="76"/>
      <c r="F952" s="77"/>
      <c r="G952" s="77"/>
      <c r="H952" s="17"/>
      <c r="I952" s="1047" t="s">
        <v>573</v>
      </c>
      <c r="J952" s="1141">
        <v>559200</v>
      </c>
      <c r="K952" s="1360">
        <f>K391</f>
        <v>76.967</v>
      </c>
      <c r="L952" s="1348">
        <f>SUM(J952:K952)</f>
        <v>559276.967</v>
      </c>
      <c r="M952" s="1486">
        <f>J952/10000</f>
        <v>55.92</v>
      </c>
      <c r="N952" s="1499">
        <f>N391</f>
        <v>76.967</v>
      </c>
      <c r="O952" s="1440">
        <f>SUM(M952:N952)</f>
        <v>132.887</v>
      </c>
      <c r="P952" s="23"/>
      <c r="Q952" s="53"/>
      <c r="R952" s="2516"/>
      <c r="S952" s="2516"/>
      <c r="T952" s="2516"/>
      <c r="U952" s="2516"/>
      <c r="V952" s="2516"/>
      <c r="W952" s="2523">
        <f t="shared" si="138"/>
        <v>559200</v>
      </c>
      <c r="X952" s="2543">
        <v>466000</v>
      </c>
      <c r="Y952" s="2516"/>
      <c r="Z952" s="2516"/>
    </row>
    <row r="953" spans="1:26" s="9" customFormat="1" ht="18">
      <c r="A953" s="74">
        <v>7</v>
      </c>
      <c r="B953" s="75"/>
      <c r="C953" s="126" t="s">
        <v>673</v>
      </c>
      <c r="D953" s="17"/>
      <c r="E953" s="72"/>
      <c r="F953" s="73"/>
      <c r="G953" s="73"/>
      <c r="H953" s="17"/>
      <c r="I953" s="1047"/>
      <c r="J953" s="1141"/>
      <c r="K953" s="1360"/>
      <c r="L953" s="1361"/>
      <c r="M953" s="1462"/>
      <c r="N953" s="1499"/>
      <c r="O953" s="1442"/>
      <c r="P953" s="23"/>
      <c r="Q953" s="53"/>
      <c r="R953" s="2516"/>
      <c r="S953" s="2516"/>
      <c r="T953" s="2516"/>
      <c r="U953" s="2516"/>
      <c r="V953" s="2516"/>
      <c r="W953" s="2523">
        <f t="shared" si="138"/>
        <v>0</v>
      </c>
      <c r="X953" s="2543"/>
      <c r="Y953" s="2516"/>
      <c r="Z953" s="2516"/>
    </row>
    <row r="954" spans="1:26" s="9" customFormat="1" ht="18.75">
      <c r="A954" s="74"/>
      <c r="B954" s="75"/>
      <c r="C954" s="126" t="s">
        <v>669</v>
      </c>
      <c r="D954" s="17"/>
      <c r="E954" s="72"/>
      <c r="F954" s="73"/>
      <c r="G954" s="73"/>
      <c r="H954" s="17"/>
      <c r="I954" s="1047" t="s">
        <v>573</v>
      </c>
      <c r="J954" s="1141">
        <v>449900</v>
      </c>
      <c r="K954" s="1360">
        <f>K393</f>
        <v>5.17</v>
      </c>
      <c r="L954" s="1348">
        <f>SUM(J954:K954)</f>
        <v>449905.17</v>
      </c>
      <c r="M954" s="1486">
        <f>J954/10000</f>
        <v>44.99</v>
      </c>
      <c r="N954" s="1499">
        <f>N393</f>
        <v>5.17</v>
      </c>
      <c r="O954" s="1440">
        <f>SUM(M954:N954)</f>
        <v>50.160000000000004</v>
      </c>
      <c r="P954" s="23"/>
      <c r="Q954" s="53"/>
      <c r="R954" s="2516"/>
      <c r="S954" s="2516"/>
      <c r="T954" s="2516"/>
      <c r="U954" s="2516"/>
      <c r="V954" s="2516"/>
      <c r="W954" s="2523">
        <f t="shared" si="138"/>
        <v>449880</v>
      </c>
      <c r="X954" s="2543">
        <v>374900</v>
      </c>
      <c r="Y954" s="2516"/>
      <c r="Z954" s="2516"/>
    </row>
    <row r="955" spans="1:26" s="9" customFormat="1" ht="18">
      <c r="A955" s="74">
        <v>8</v>
      </c>
      <c r="B955" s="75"/>
      <c r="C955" s="126" t="str">
        <f>C953</f>
        <v>рентгеновская компьютерная томография грудной полости</v>
      </c>
      <c r="D955" s="17"/>
      <c r="E955" s="72"/>
      <c r="F955" s="73"/>
      <c r="G955" s="73"/>
      <c r="H955" s="17"/>
      <c r="I955" s="1047"/>
      <c r="J955" s="1141"/>
      <c r="K955" s="1360"/>
      <c r="L955" s="1361"/>
      <c r="M955" s="1462"/>
      <c r="N955" s="1499"/>
      <c r="O955" s="1442"/>
      <c r="P955" s="23"/>
      <c r="Q955" s="53"/>
      <c r="R955" s="2516"/>
      <c r="S955" s="2516"/>
      <c r="T955" s="2516"/>
      <c r="U955" s="2516"/>
      <c r="V955" s="2516"/>
      <c r="W955" s="2523">
        <f t="shared" si="138"/>
        <v>0</v>
      </c>
      <c r="X955" s="2543"/>
      <c r="Y955" s="2516"/>
      <c r="Z955" s="2516"/>
    </row>
    <row r="956" spans="1:26" s="9" customFormat="1" ht="18.75">
      <c r="A956" s="74"/>
      <c r="B956" s="75"/>
      <c r="C956" s="126" t="s">
        <v>670</v>
      </c>
      <c r="D956" s="17"/>
      <c r="E956" s="72"/>
      <c r="F956" s="73"/>
      <c r="G956" s="73"/>
      <c r="H956" s="17"/>
      <c r="I956" s="1047" t="s">
        <v>573</v>
      </c>
      <c r="J956" s="1141">
        <v>671000</v>
      </c>
      <c r="K956" s="1360">
        <f>K395</f>
        <v>76.967</v>
      </c>
      <c r="L956" s="1348">
        <f>SUM(J956:K956)</f>
        <v>671076.967</v>
      </c>
      <c r="M956" s="1486">
        <f>J956/10000</f>
        <v>67.1</v>
      </c>
      <c r="N956" s="1499">
        <f>N395</f>
        <v>76.967</v>
      </c>
      <c r="O956" s="1440">
        <f>SUM(M956:N956)</f>
        <v>144.067</v>
      </c>
      <c r="P956" s="23"/>
      <c r="Q956" s="53"/>
      <c r="R956" s="2516"/>
      <c r="S956" s="2516"/>
      <c r="T956" s="2516"/>
      <c r="U956" s="2516"/>
      <c r="V956" s="2516"/>
      <c r="W956" s="2523">
        <f t="shared" si="138"/>
        <v>671040</v>
      </c>
      <c r="X956" s="2543">
        <v>559200</v>
      </c>
      <c r="Y956" s="2516"/>
      <c r="Z956" s="2516"/>
    </row>
    <row r="957" spans="1:26" s="9" customFormat="1" ht="18">
      <c r="A957" s="74">
        <v>9</v>
      </c>
      <c r="B957" s="75"/>
      <c r="C957" s="126" t="s">
        <v>674</v>
      </c>
      <c r="D957" s="17"/>
      <c r="E957" s="72"/>
      <c r="F957" s="73"/>
      <c r="G957" s="73"/>
      <c r="H957" s="17"/>
      <c r="I957" s="1047"/>
      <c r="J957" s="1141"/>
      <c r="K957" s="1360"/>
      <c r="L957" s="1361"/>
      <c r="M957" s="1462"/>
      <c r="N957" s="1499"/>
      <c r="O957" s="1442"/>
      <c r="P957" s="23"/>
      <c r="Q957" s="53"/>
      <c r="R957" s="2516"/>
      <c r="S957" s="2516"/>
      <c r="T957" s="2516"/>
      <c r="U957" s="2516"/>
      <c r="V957" s="2516"/>
      <c r="W957" s="2523">
        <f t="shared" si="138"/>
        <v>0</v>
      </c>
      <c r="X957" s="2543"/>
      <c r="Y957" s="2516"/>
      <c r="Z957" s="2516"/>
    </row>
    <row r="958" spans="1:26" s="9" customFormat="1" ht="18.75">
      <c r="A958" s="74"/>
      <c r="B958" s="75"/>
      <c r="C958" s="126" t="s">
        <v>669</v>
      </c>
      <c r="D958" s="17"/>
      <c r="E958" s="72"/>
      <c r="F958" s="73"/>
      <c r="G958" s="73"/>
      <c r="H958" s="17"/>
      <c r="I958" s="1047" t="s">
        <v>573</v>
      </c>
      <c r="J958" s="1141">
        <v>449900</v>
      </c>
      <c r="K958" s="1360">
        <f>K397</f>
        <v>5.17</v>
      </c>
      <c r="L958" s="1348">
        <f>SUM(J958:K958)</f>
        <v>449905.17</v>
      </c>
      <c r="M958" s="1486">
        <f>J958/10000</f>
        <v>44.99</v>
      </c>
      <c r="N958" s="1499">
        <f>N397</f>
        <v>5.17</v>
      </c>
      <c r="O958" s="1440">
        <f>SUM(M958:N958)</f>
        <v>50.160000000000004</v>
      </c>
      <c r="P958" s="23"/>
      <c r="Q958" s="53"/>
      <c r="R958" s="2516"/>
      <c r="S958" s="2516"/>
      <c r="T958" s="2516"/>
      <c r="U958" s="2516"/>
      <c r="V958" s="2516"/>
      <c r="W958" s="2523">
        <f t="shared" si="138"/>
        <v>449880</v>
      </c>
      <c r="X958" s="2543">
        <v>374900</v>
      </c>
      <c r="Y958" s="2516"/>
      <c r="Z958" s="2516"/>
    </row>
    <row r="959" spans="1:26" s="9" customFormat="1" ht="18">
      <c r="A959" s="74">
        <v>10</v>
      </c>
      <c r="B959" s="75"/>
      <c r="C959" s="126" t="str">
        <f>C957</f>
        <v>рентгеновская компьютерная томография брюшной полости</v>
      </c>
      <c r="D959" s="17"/>
      <c r="E959" s="72"/>
      <c r="F959" s="73"/>
      <c r="G959" s="73"/>
      <c r="H959" s="17"/>
      <c r="I959" s="1047"/>
      <c r="J959" s="1141"/>
      <c r="K959" s="1360"/>
      <c r="L959" s="1361"/>
      <c r="M959" s="1462"/>
      <c r="N959" s="1499"/>
      <c r="O959" s="1442"/>
      <c r="P959" s="23"/>
      <c r="Q959" s="53"/>
      <c r="R959" s="2516"/>
      <c r="S959" s="2516"/>
      <c r="T959" s="2516"/>
      <c r="U959" s="2516"/>
      <c r="V959" s="2516"/>
      <c r="W959" s="2523">
        <f t="shared" si="138"/>
        <v>0</v>
      </c>
      <c r="X959" s="2543"/>
      <c r="Y959" s="2516"/>
      <c r="Z959" s="2516"/>
    </row>
    <row r="960" spans="1:26" s="9" customFormat="1" ht="18.75">
      <c r="A960" s="74"/>
      <c r="B960" s="75"/>
      <c r="C960" s="126" t="str">
        <f>C956</f>
        <v>с контрастным  усилением</v>
      </c>
      <c r="D960" s="17"/>
      <c r="E960" s="72"/>
      <c r="F960" s="73"/>
      <c r="G960" s="73"/>
      <c r="H960" s="17"/>
      <c r="I960" s="1047" t="s">
        <v>573</v>
      </c>
      <c r="J960" s="1141">
        <v>671000</v>
      </c>
      <c r="K960" s="1360">
        <f>K399</f>
        <v>76.967</v>
      </c>
      <c r="L960" s="1348">
        <f>SUM(J960:K960)</f>
        <v>671076.967</v>
      </c>
      <c r="M960" s="1486">
        <f>J960/10000</f>
        <v>67.1</v>
      </c>
      <c r="N960" s="1499">
        <f>N399</f>
        <v>76.967</v>
      </c>
      <c r="O960" s="1440">
        <f>SUM(M960:N960)</f>
        <v>144.067</v>
      </c>
      <c r="P960" s="23"/>
      <c r="Q960" s="53"/>
      <c r="R960" s="2516"/>
      <c r="S960" s="2516"/>
      <c r="T960" s="2516"/>
      <c r="U960" s="2516"/>
      <c r="V960" s="2516"/>
      <c r="W960" s="2523">
        <f t="shared" si="138"/>
        <v>671040</v>
      </c>
      <c r="X960" s="2543">
        <v>559200</v>
      </c>
      <c r="Y960" s="2516"/>
      <c r="Z960" s="2516"/>
    </row>
    <row r="961" spans="1:26" s="9" customFormat="1" ht="18">
      <c r="A961" s="74">
        <v>11</v>
      </c>
      <c r="B961" s="75"/>
      <c r="C961" s="126" t="s">
        <v>675</v>
      </c>
      <c r="D961" s="17"/>
      <c r="E961" s="72"/>
      <c r="F961" s="73"/>
      <c r="G961" s="73"/>
      <c r="H961" s="17"/>
      <c r="I961" s="1047"/>
      <c r="J961" s="1141"/>
      <c r="K961" s="1360"/>
      <c r="L961" s="1361"/>
      <c r="M961" s="1462"/>
      <c r="N961" s="1499"/>
      <c r="O961" s="1442"/>
      <c r="P961" s="23"/>
      <c r="Q961" s="53"/>
      <c r="R961" s="2516"/>
      <c r="S961" s="2516"/>
      <c r="T961" s="2516"/>
      <c r="U961" s="2516"/>
      <c r="V961" s="2516"/>
      <c r="W961" s="2523">
        <f t="shared" si="138"/>
        <v>0</v>
      </c>
      <c r="X961" s="2543"/>
      <c r="Y961" s="2516"/>
      <c r="Z961" s="2516"/>
    </row>
    <row r="962" spans="1:26" s="9" customFormat="1" ht="18.75">
      <c r="A962" s="74"/>
      <c r="B962" s="75"/>
      <c r="C962" s="126" t="s">
        <v>669</v>
      </c>
      <c r="D962" s="17"/>
      <c r="E962" s="72"/>
      <c r="F962" s="73"/>
      <c r="G962" s="73"/>
      <c r="H962" s="17"/>
      <c r="I962" s="1047" t="s">
        <v>573</v>
      </c>
      <c r="J962" s="1141">
        <v>370800</v>
      </c>
      <c r="K962" s="1360">
        <f>K401</f>
        <v>5.17</v>
      </c>
      <c r="L962" s="1348">
        <f>SUM(J962:K962)</f>
        <v>370805.17</v>
      </c>
      <c r="M962" s="1486">
        <f>J962/10000</f>
        <v>37.08</v>
      </c>
      <c r="N962" s="1499">
        <f>N401</f>
        <v>5.17</v>
      </c>
      <c r="O962" s="1440">
        <f>SUM(M962:N962)</f>
        <v>42.25</v>
      </c>
      <c r="P962" s="23"/>
      <c r="Q962" s="53"/>
      <c r="R962" s="2516"/>
      <c r="S962" s="2516"/>
      <c r="T962" s="2516"/>
      <c r="U962" s="2516"/>
      <c r="V962" s="2516"/>
      <c r="W962" s="2523">
        <f t="shared" si="138"/>
        <v>370800</v>
      </c>
      <c r="X962" s="2543">
        <v>309000</v>
      </c>
      <c r="Y962" s="2516"/>
      <c r="Z962" s="2516"/>
    </row>
    <row r="963" spans="1:26" s="9" customFormat="1" ht="18">
      <c r="A963" s="74">
        <v>12</v>
      </c>
      <c r="B963" s="75"/>
      <c r="C963" s="126" t="str">
        <f>C961</f>
        <v>рентгеновская компьютерная томография таза</v>
      </c>
      <c r="D963" s="17"/>
      <c r="E963" s="72"/>
      <c r="F963" s="73"/>
      <c r="G963" s="73"/>
      <c r="H963" s="17"/>
      <c r="I963" s="1047"/>
      <c r="J963" s="1141"/>
      <c r="K963" s="1360"/>
      <c r="L963" s="1361"/>
      <c r="M963" s="1462"/>
      <c r="N963" s="1499"/>
      <c r="O963" s="1442"/>
      <c r="P963" s="23"/>
      <c r="Q963" s="53"/>
      <c r="R963" s="2516"/>
      <c r="S963" s="2516"/>
      <c r="T963" s="2516"/>
      <c r="U963" s="2516"/>
      <c r="V963" s="2516"/>
      <c r="W963" s="2523">
        <f t="shared" si="138"/>
        <v>0</v>
      </c>
      <c r="X963" s="2543"/>
      <c r="Y963" s="2516"/>
      <c r="Z963" s="2516"/>
    </row>
    <row r="964" spans="1:26" s="9" customFormat="1" ht="18.75">
      <c r="A964" s="74"/>
      <c r="B964" s="75"/>
      <c r="C964" s="126" t="str">
        <f>C960</f>
        <v>с контрастным  усилением</v>
      </c>
      <c r="D964" s="17"/>
      <c r="E964" s="72"/>
      <c r="F964" s="73"/>
      <c r="G964" s="73"/>
      <c r="H964" s="17"/>
      <c r="I964" s="1047" t="s">
        <v>573</v>
      </c>
      <c r="J964" s="1141">
        <v>559200</v>
      </c>
      <c r="K964" s="1360">
        <f>K403</f>
        <v>77.17699999999999</v>
      </c>
      <c r="L964" s="1348">
        <f>SUM(J964:K964)</f>
        <v>559277.177</v>
      </c>
      <c r="M964" s="1486">
        <f>J964/10000</f>
        <v>55.92</v>
      </c>
      <c r="N964" s="1499">
        <f>N403</f>
        <v>77.17699999999999</v>
      </c>
      <c r="O964" s="1440">
        <f>SUM(M964:N964)</f>
        <v>133.09699999999998</v>
      </c>
      <c r="P964" s="23"/>
      <c r="Q964" s="53"/>
      <c r="R964" s="2516"/>
      <c r="S964" s="2516"/>
      <c r="T964" s="2516"/>
      <c r="U964" s="2516"/>
      <c r="V964" s="2516"/>
      <c r="W964" s="2523">
        <f t="shared" si="138"/>
        <v>559200</v>
      </c>
      <c r="X964" s="2543">
        <v>466000</v>
      </c>
      <c r="Y964" s="2516"/>
      <c r="Z964" s="2516"/>
    </row>
    <row r="965" spans="1:26" s="9" customFormat="1" ht="18">
      <c r="A965" s="74">
        <v>13</v>
      </c>
      <c r="B965" s="75"/>
      <c r="C965" s="126" t="s">
        <v>676</v>
      </c>
      <c r="D965" s="17"/>
      <c r="E965" s="72"/>
      <c r="F965" s="73"/>
      <c r="G965" s="73"/>
      <c r="H965" s="17"/>
      <c r="I965" s="1047"/>
      <c r="J965" s="1141"/>
      <c r="K965" s="1360"/>
      <c r="L965" s="1361"/>
      <c r="M965" s="1462"/>
      <c r="N965" s="1499"/>
      <c r="O965" s="1442"/>
      <c r="P965" s="23"/>
      <c r="Q965" s="53"/>
      <c r="R965" s="2516"/>
      <c r="S965" s="2516"/>
      <c r="T965" s="2516"/>
      <c r="U965" s="2516"/>
      <c r="V965" s="2516"/>
      <c r="W965" s="2523">
        <f t="shared" si="138"/>
        <v>0</v>
      </c>
      <c r="X965" s="2543"/>
      <c r="Y965" s="2516"/>
      <c r="Z965" s="2516"/>
    </row>
    <row r="966" spans="1:26" s="9" customFormat="1" ht="18.75">
      <c r="A966" s="74"/>
      <c r="B966" s="75"/>
      <c r="C966" s="126" t="s">
        <v>669</v>
      </c>
      <c r="D966" s="17"/>
      <c r="E966" s="72"/>
      <c r="F966" s="73"/>
      <c r="G966" s="73"/>
      <c r="H966" s="17"/>
      <c r="I966" s="1047" t="s">
        <v>573</v>
      </c>
      <c r="J966" s="1141">
        <v>148300</v>
      </c>
      <c r="K966" s="1360">
        <f>K405</f>
        <v>5.17</v>
      </c>
      <c r="L966" s="1348">
        <f>SUM(J966:K966)</f>
        <v>148305.17</v>
      </c>
      <c r="M966" s="1486">
        <f>J966/10000</f>
        <v>14.83</v>
      </c>
      <c r="N966" s="1499">
        <f>N405</f>
        <v>5.17</v>
      </c>
      <c r="O966" s="1440">
        <f>SUM(M966:N966)</f>
        <v>20</v>
      </c>
      <c r="P966" s="23"/>
      <c r="Q966" s="53"/>
      <c r="R966" s="2516"/>
      <c r="S966" s="2516"/>
      <c r="T966" s="2516"/>
      <c r="U966" s="2516"/>
      <c r="V966" s="2516"/>
      <c r="W966" s="2523">
        <f t="shared" si="138"/>
        <v>148320</v>
      </c>
      <c r="X966" s="2543">
        <v>123600</v>
      </c>
      <c r="Y966" s="2516"/>
      <c r="Z966" s="2516"/>
    </row>
    <row r="967" spans="1:26" s="9" customFormat="1" ht="18">
      <c r="A967" s="74">
        <v>14</v>
      </c>
      <c r="B967" s="75"/>
      <c r="C967" s="126" t="str">
        <f>C965</f>
        <v>рентгеновская компьютерная томография позвоночного сегмента</v>
      </c>
      <c r="D967" s="17"/>
      <c r="E967" s="72"/>
      <c r="F967" s="73"/>
      <c r="G967" s="73"/>
      <c r="H967" s="17"/>
      <c r="I967" s="1047"/>
      <c r="J967" s="1141"/>
      <c r="K967" s="1360"/>
      <c r="L967" s="1361"/>
      <c r="M967" s="1462"/>
      <c r="N967" s="1499"/>
      <c r="O967" s="1442"/>
      <c r="P967" s="23"/>
      <c r="Q967" s="53"/>
      <c r="R967" s="2516"/>
      <c r="S967" s="2516"/>
      <c r="T967" s="2516"/>
      <c r="U967" s="2516"/>
      <c r="V967" s="2516"/>
      <c r="W967" s="2523">
        <f t="shared" si="138"/>
        <v>0</v>
      </c>
      <c r="X967" s="2543"/>
      <c r="Y967" s="2516"/>
      <c r="Z967" s="2516"/>
    </row>
    <row r="968" spans="1:26" s="9" customFormat="1" ht="18.75">
      <c r="A968" s="74"/>
      <c r="B968" s="75"/>
      <c r="C968" s="126" t="str">
        <f>C964</f>
        <v>с контрастным  усилением</v>
      </c>
      <c r="D968" s="17"/>
      <c r="E968" s="72"/>
      <c r="F968" s="73"/>
      <c r="G968" s="73"/>
      <c r="H968" s="17"/>
      <c r="I968" s="1047" t="s">
        <v>573</v>
      </c>
      <c r="J968" s="1141">
        <v>223700</v>
      </c>
      <c r="K968" s="1360">
        <f>K407</f>
        <v>77.17699999999999</v>
      </c>
      <c r="L968" s="1348">
        <f>SUM(J968:K968)</f>
        <v>223777.177</v>
      </c>
      <c r="M968" s="1486">
        <f>J968/10000</f>
        <v>22.37</v>
      </c>
      <c r="N968" s="1499">
        <f>N407</f>
        <v>77.17699999999999</v>
      </c>
      <c r="O968" s="1440">
        <f>SUM(M968:N968)</f>
        <v>99.547</v>
      </c>
      <c r="P968" s="23"/>
      <c r="Q968" s="53"/>
      <c r="R968" s="2516"/>
      <c r="S968" s="2516"/>
      <c r="T968" s="2516"/>
      <c r="U968" s="2516"/>
      <c r="V968" s="2516"/>
      <c r="W968" s="2523">
        <f t="shared" si="138"/>
        <v>223680</v>
      </c>
      <c r="X968" s="2543">
        <v>186400</v>
      </c>
      <c r="Y968" s="2516"/>
      <c r="Z968" s="2516"/>
    </row>
    <row r="969" spans="1:26" s="9" customFormat="1" ht="18">
      <c r="A969" s="74">
        <v>15</v>
      </c>
      <c r="B969" s="75"/>
      <c r="C969" s="126" t="s">
        <v>677</v>
      </c>
      <c r="D969" s="17"/>
      <c r="E969" s="72"/>
      <c r="F969" s="73"/>
      <c r="G969" s="73"/>
      <c r="H969" s="17"/>
      <c r="I969" s="1047"/>
      <c r="J969" s="1141"/>
      <c r="K969" s="1360"/>
      <c r="L969" s="1361"/>
      <c r="M969" s="1462"/>
      <c r="N969" s="1499"/>
      <c r="O969" s="1442"/>
      <c r="P969" s="23"/>
      <c r="Q969" s="53"/>
      <c r="R969" s="2516"/>
      <c r="S969" s="2516"/>
      <c r="T969" s="2516"/>
      <c r="U969" s="2516"/>
      <c r="V969" s="2516"/>
      <c r="W969" s="2523">
        <f t="shared" si="138"/>
        <v>0</v>
      </c>
      <c r="X969" s="2543"/>
      <c r="Y969" s="2516"/>
      <c r="Z969" s="2516"/>
    </row>
    <row r="970" spans="1:26" s="9" customFormat="1" ht="18.75">
      <c r="A970" s="74"/>
      <c r="B970" s="75"/>
      <c r="C970" s="126" t="s">
        <v>669</v>
      </c>
      <c r="D970" s="17"/>
      <c r="E970" s="72"/>
      <c r="F970" s="73"/>
      <c r="G970" s="73"/>
      <c r="H970" s="17"/>
      <c r="I970" s="1047" t="s">
        <v>573</v>
      </c>
      <c r="J970" s="1141">
        <v>370800</v>
      </c>
      <c r="K970" s="1360">
        <f>K409</f>
        <v>5.17</v>
      </c>
      <c r="L970" s="1348">
        <f>SUM(J970:K970)</f>
        <v>370805.17</v>
      </c>
      <c r="M970" s="1486">
        <f>J970/10000</f>
        <v>37.08</v>
      </c>
      <c r="N970" s="1499">
        <f>N409</f>
        <v>5.17</v>
      </c>
      <c r="O970" s="1440">
        <f>SUM(M970:N970)</f>
        <v>42.25</v>
      </c>
      <c r="P970" s="23"/>
      <c r="Q970" s="53"/>
      <c r="R970" s="2516"/>
      <c r="S970" s="2516"/>
      <c r="T970" s="2516"/>
      <c r="U970" s="2516"/>
      <c r="V970" s="2516"/>
      <c r="W970" s="2523">
        <f t="shared" si="138"/>
        <v>370800</v>
      </c>
      <c r="X970" s="2543">
        <v>309000</v>
      </c>
      <c r="Y970" s="2516"/>
      <c r="Z970" s="2516"/>
    </row>
    <row r="971" spans="1:26" s="9" customFormat="1" ht="18">
      <c r="A971" s="74">
        <v>16</v>
      </c>
      <c r="B971" s="75"/>
      <c r="C971" s="126" t="str">
        <f>C969</f>
        <v>рентгеновская компьютерная томография отдела позвоника</v>
      </c>
      <c r="D971" s="17"/>
      <c r="E971" s="72"/>
      <c r="F971" s="73"/>
      <c r="G971" s="73"/>
      <c r="H971" s="17"/>
      <c r="I971" s="1047"/>
      <c r="J971" s="1141"/>
      <c r="K971" s="1360"/>
      <c r="L971" s="1361"/>
      <c r="M971" s="1462"/>
      <c r="N971" s="1499"/>
      <c r="O971" s="1442"/>
      <c r="P971" s="23"/>
      <c r="Q971" s="53"/>
      <c r="R971" s="2516"/>
      <c r="S971" s="2516"/>
      <c r="T971" s="2516"/>
      <c r="U971" s="2516"/>
      <c r="V971" s="2516"/>
      <c r="W971" s="2523">
        <f t="shared" si="138"/>
        <v>0</v>
      </c>
      <c r="X971" s="2543"/>
      <c r="Y971" s="2516"/>
      <c r="Z971" s="2516"/>
    </row>
    <row r="972" spans="1:26" s="9" customFormat="1" ht="18.75">
      <c r="A972" s="74"/>
      <c r="B972" s="75"/>
      <c r="C972" s="126" t="str">
        <f>C968</f>
        <v>с контрастным  усилением</v>
      </c>
      <c r="D972" s="17"/>
      <c r="E972" s="72"/>
      <c r="F972" s="73"/>
      <c r="G972" s="73"/>
      <c r="H972" s="17"/>
      <c r="I972" s="1047" t="s">
        <v>573</v>
      </c>
      <c r="J972" s="1141">
        <v>559200</v>
      </c>
      <c r="K972" s="1360">
        <f>K411</f>
        <v>77.17699999999999</v>
      </c>
      <c r="L972" s="1348">
        <f>SUM(J972:K972)</f>
        <v>559277.177</v>
      </c>
      <c r="M972" s="1486">
        <f>J972/10000</f>
        <v>55.92</v>
      </c>
      <c r="N972" s="1499">
        <f>N411</f>
        <v>77.17699999999999</v>
      </c>
      <c r="O972" s="1440">
        <f>SUM(M972:N972)</f>
        <v>133.09699999999998</v>
      </c>
      <c r="P972" s="23"/>
      <c r="Q972" s="53"/>
      <c r="R972" s="2516"/>
      <c r="S972" s="2516"/>
      <c r="T972" s="2516"/>
      <c r="U972" s="2516"/>
      <c r="V972" s="2516"/>
      <c r="W972" s="2523">
        <f t="shared" si="138"/>
        <v>559200</v>
      </c>
      <c r="X972" s="2543">
        <v>466000</v>
      </c>
      <c r="Y972" s="2516"/>
      <c r="Z972" s="2516"/>
    </row>
    <row r="973" spans="1:26" s="9" customFormat="1" ht="18">
      <c r="A973" s="74">
        <v>17</v>
      </c>
      <c r="B973" s="75"/>
      <c r="C973" s="126" t="s">
        <v>678</v>
      </c>
      <c r="D973" s="17"/>
      <c r="E973" s="72"/>
      <c r="F973" s="73"/>
      <c r="G973" s="73"/>
      <c r="H973" s="17"/>
      <c r="I973" s="1047"/>
      <c r="J973" s="1141"/>
      <c r="K973" s="1360"/>
      <c r="L973" s="1361"/>
      <c r="M973" s="1462"/>
      <c r="N973" s="1499"/>
      <c r="O973" s="1442"/>
      <c r="P973" s="23"/>
      <c r="Q973" s="53"/>
      <c r="R973" s="2516"/>
      <c r="S973" s="2516"/>
      <c r="T973" s="2516"/>
      <c r="U973" s="2516"/>
      <c r="V973" s="2516"/>
      <c r="W973" s="2523">
        <f t="shared" si="138"/>
        <v>0</v>
      </c>
      <c r="X973" s="2543"/>
      <c r="Y973" s="2516"/>
      <c r="Z973" s="2516"/>
    </row>
    <row r="974" spans="1:26" s="9" customFormat="1" ht="18.75">
      <c r="A974" s="74"/>
      <c r="B974" s="75"/>
      <c r="C974" s="126" t="s">
        <v>669</v>
      </c>
      <c r="D974" s="17"/>
      <c r="E974" s="72"/>
      <c r="F974" s="73"/>
      <c r="G974" s="73"/>
      <c r="H974" s="17"/>
      <c r="I974" s="1047" t="s">
        <v>573</v>
      </c>
      <c r="J974" s="1141">
        <v>370800</v>
      </c>
      <c r="K974" s="1360">
        <f>K413</f>
        <v>5.17</v>
      </c>
      <c r="L974" s="1348">
        <f>SUM(J974:K974)</f>
        <v>370805.17</v>
      </c>
      <c r="M974" s="1486">
        <f>J974/10000</f>
        <v>37.08</v>
      </c>
      <c r="N974" s="1499">
        <f>N413</f>
        <v>5.17</v>
      </c>
      <c r="O974" s="1440">
        <f>SUM(M974:N974)</f>
        <v>42.25</v>
      </c>
      <c r="P974" s="23"/>
      <c r="Q974" s="53"/>
      <c r="R974" s="2516"/>
      <c r="S974" s="2516"/>
      <c r="T974" s="2516"/>
      <c r="U974" s="2516"/>
      <c r="V974" s="2516"/>
      <c r="W974" s="2523">
        <f t="shared" si="138"/>
        <v>370800</v>
      </c>
      <c r="X974" s="2543">
        <v>309000</v>
      </c>
      <c r="Y974" s="2516"/>
      <c r="Z974" s="2516"/>
    </row>
    <row r="975" spans="1:26" s="9" customFormat="1" ht="18">
      <c r="A975" s="74">
        <v>18</v>
      </c>
      <c r="B975" s="75"/>
      <c r="C975" s="126" t="str">
        <f>C973</f>
        <v>рентгеновская компьютерная томография костей и суставов</v>
      </c>
      <c r="D975" s="17"/>
      <c r="E975" s="72"/>
      <c r="F975" s="73"/>
      <c r="G975" s="73"/>
      <c r="H975" s="17"/>
      <c r="I975" s="1047"/>
      <c r="J975" s="1141"/>
      <c r="K975" s="1360"/>
      <c r="L975" s="1361"/>
      <c r="M975" s="1462"/>
      <c r="N975" s="1499"/>
      <c r="O975" s="1442"/>
      <c r="P975" s="23"/>
      <c r="Q975" s="53"/>
      <c r="R975" s="2516"/>
      <c r="S975" s="2516"/>
      <c r="T975" s="2516"/>
      <c r="U975" s="2516"/>
      <c r="V975" s="2516"/>
      <c r="W975" s="2523">
        <f t="shared" si="138"/>
        <v>0</v>
      </c>
      <c r="X975" s="2543"/>
      <c r="Y975" s="2516"/>
      <c r="Z975" s="2516"/>
    </row>
    <row r="976" spans="1:26" s="9" customFormat="1" ht="18.75">
      <c r="A976" s="74"/>
      <c r="B976" s="75"/>
      <c r="C976" s="126" t="str">
        <f>C972</f>
        <v>с контрастным  усилением</v>
      </c>
      <c r="D976" s="17"/>
      <c r="E976" s="72"/>
      <c r="F976" s="73"/>
      <c r="G976" s="73"/>
      <c r="H976" s="17"/>
      <c r="I976" s="1047" t="s">
        <v>573</v>
      </c>
      <c r="J976" s="1141">
        <v>559200</v>
      </c>
      <c r="K976" s="1360">
        <f>K415</f>
        <v>77.17699999999999</v>
      </c>
      <c r="L976" s="1348">
        <f>SUM(J976:K976)</f>
        <v>559277.177</v>
      </c>
      <c r="M976" s="1486">
        <f>J976/10000</f>
        <v>55.92</v>
      </c>
      <c r="N976" s="1499">
        <f>N415</f>
        <v>77.17699999999999</v>
      </c>
      <c r="O976" s="1440">
        <f>SUM(M976:N976)</f>
        <v>133.09699999999998</v>
      </c>
      <c r="P976" s="23"/>
      <c r="Q976" s="53"/>
      <c r="R976" s="2516"/>
      <c r="S976" s="2516"/>
      <c r="T976" s="2516"/>
      <c r="U976" s="2516"/>
      <c r="V976" s="2516"/>
      <c r="W976" s="2523">
        <f t="shared" si="138"/>
        <v>559200</v>
      </c>
      <c r="X976" s="2543">
        <v>466000</v>
      </c>
      <c r="Y976" s="2516"/>
      <c r="Z976" s="2516"/>
    </row>
    <row r="977" spans="1:26" s="9" customFormat="1" ht="18.75">
      <c r="A977" s="74">
        <v>19</v>
      </c>
      <c r="B977" s="75"/>
      <c r="C977" s="126" t="s">
        <v>679</v>
      </c>
      <c r="D977" s="17"/>
      <c r="E977" s="72"/>
      <c r="F977" s="73"/>
      <c r="G977" s="73"/>
      <c r="H977" s="17"/>
      <c r="I977" s="1047" t="s">
        <v>573</v>
      </c>
      <c r="J977" s="1141">
        <v>741700</v>
      </c>
      <c r="K977" s="1360">
        <f>K416</f>
        <v>76.967</v>
      </c>
      <c r="L977" s="1348">
        <f>SUM(J977:K977)</f>
        <v>741776.967</v>
      </c>
      <c r="M977" s="1486">
        <f>J977/10000</f>
        <v>74.17</v>
      </c>
      <c r="N977" s="1499">
        <f>N416</f>
        <v>76.967</v>
      </c>
      <c r="O977" s="1440">
        <f>SUM(M977:N977)</f>
        <v>151.137</v>
      </c>
      <c r="P977" s="23"/>
      <c r="Q977" s="53"/>
      <c r="R977" s="2516"/>
      <c r="S977" s="2516"/>
      <c r="T977" s="2516"/>
      <c r="U977" s="2516"/>
      <c r="V977" s="2516"/>
      <c r="W977" s="2523">
        <f t="shared" si="138"/>
        <v>741720</v>
      </c>
      <c r="X977" s="2543">
        <v>618100</v>
      </c>
      <c r="Y977" s="2516"/>
      <c r="Z977" s="2516"/>
    </row>
    <row r="978" spans="1:26" s="9" customFormat="1" ht="18.75">
      <c r="A978" s="74">
        <v>20</v>
      </c>
      <c r="B978" s="78"/>
      <c r="C978" s="631" t="s">
        <v>680</v>
      </c>
      <c r="D978" s="17"/>
      <c r="E978" s="72"/>
      <c r="F978" s="73"/>
      <c r="G978" s="73"/>
      <c r="H978" s="17"/>
      <c r="I978" s="1047"/>
      <c r="J978" s="1141"/>
      <c r="K978" s="1360"/>
      <c r="L978" s="1348"/>
      <c r="M978" s="1462"/>
      <c r="N978" s="1499"/>
      <c r="O978" s="1440"/>
      <c r="P978" s="23"/>
      <c r="Q978" s="53"/>
      <c r="R978" s="2516"/>
      <c r="S978" s="2516"/>
      <c r="T978" s="2516"/>
      <c r="U978" s="2516"/>
      <c r="V978" s="2516"/>
      <c r="W978" s="2523">
        <f t="shared" si="138"/>
        <v>0</v>
      </c>
      <c r="X978" s="2543"/>
      <c r="Y978" s="2516"/>
      <c r="Z978" s="2516"/>
    </row>
    <row r="979" spans="1:26" s="9" customFormat="1" ht="18.75">
      <c r="A979" s="74" t="s">
        <v>681</v>
      </c>
      <c r="B979" s="75"/>
      <c r="C979" s="126" t="s">
        <v>682</v>
      </c>
      <c r="D979" s="17"/>
      <c r="E979" s="72"/>
      <c r="F979" s="73"/>
      <c r="G979" s="73"/>
      <c r="H979" s="17"/>
      <c r="I979" s="1047" t="s">
        <v>573</v>
      </c>
      <c r="J979" s="1141">
        <v>255600</v>
      </c>
      <c r="K979" s="1360"/>
      <c r="L979" s="1348">
        <f>SUM(J979:K979)</f>
        <v>255600</v>
      </c>
      <c r="M979" s="1486">
        <f>J979/10000</f>
        <v>25.56</v>
      </c>
      <c r="N979" s="1499"/>
      <c r="O979" s="1440">
        <f>SUM(M979:N979)</f>
        <v>25.56</v>
      </c>
      <c r="P979" s="23"/>
      <c r="Q979" s="53"/>
      <c r="R979" s="2516"/>
      <c r="S979" s="2516"/>
      <c r="T979" s="2516"/>
      <c r="U979" s="2516"/>
      <c r="V979" s="2516"/>
      <c r="W979" s="2523">
        <f t="shared" si="138"/>
        <v>255600</v>
      </c>
      <c r="X979" s="2543">
        <v>213000</v>
      </c>
      <c r="Y979" s="2516"/>
      <c r="Z979" s="2516"/>
    </row>
    <row r="980" spans="1:26" s="9" customFormat="1" ht="18.75">
      <c r="A980" s="74" t="s">
        <v>683</v>
      </c>
      <c r="B980" s="75"/>
      <c r="C980" s="126" t="s">
        <v>684</v>
      </c>
      <c r="D980" s="17"/>
      <c r="E980" s="72"/>
      <c r="F980" s="73"/>
      <c r="G980" s="73"/>
      <c r="H980" s="17"/>
      <c r="I980" s="1047" t="s">
        <v>573</v>
      </c>
      <c r="J980" s="1141">
        <v>306700</v>
      </c>
      <c r="K980" s="1360"/>
      <c r="L980" s="1348">
        <f>SUM(J980:K980)</f>
        <v>306700</v>
      </c>
      <c r="M980" s="1486">
        <f>J980/10000</f>
        <v>30.67</v>
      </c>
      <c r="N980" s="1499"/>
      <c r="O980" s="1440">
        <f>SUM(M980:N980)</f>
        <v>30.67</v>
      </c>
      <c r="P980" s="23"/>
      <c r="Q980" s="53"/>
      <c r="R980" s="2516"/>
      <c r="S980" s="2516"/>
      <c r="T980" s="2516"/>
      <c r="U980" s="2516"/>
      <c r="V980" s="2516"/>
      <c r="W980" s="2523">
        <f t="shared" si="138"/>
        <v>306720</v>
      </c>
      <c r="X980" s="2543">
        <v>255600</v>
      </c>
      <c r="Y980" s="2516"/>
      <c r="Z980" s="2516"/>
    </row>
    <row r="981" spans="1:26" s="9" customFormat="1" ht="18.75">
      <c r="A981" s="74" t="s">
        <v>685</v>
      </c>
      <c r="B981" s="75"/>
      <c r="C981" s="126" t="s">
        <v>686</v>
      </c>
      <c r="D981" s="17"/>
      <c r="E981" s="79"/>
      <c r="F981" s="79"/>
      <c r="G981" s="79"/>
      <c r="H981" s="17"/>
      <c r="I981" s="1047" t="s">
        <v>573</v>
      </c>
      <c r="J981" s="1141">
        <v>306700</v>
      </c>
      <c r="K981" s="1360"/>
      <c r="L981" s="1348">
        <f>SUM(J981:K981)</f>
        <v>306700</v>
      </c>
      <c r="M981" s="1486">
        <f>J981/10000</f>
        <v>30.67</v>
      </c>
      <c r="N981" s="1499"/>
      <c r="O981" s="1440">
        <f>SUM(M981:N981)</f>
        <v>30.67</v>
      </c>
      <c r="P981" s="23"/>
      <c r="Q981" s="53"/>
      <c r="R981" s="2516"/>
      <c r="S981" s="2516"/>
      <c r="T981" s="2516"/>
      <c r="U981" s="2516"/>
      <c r="V981" s="2516"/>
      <c r="W981" s="2523">
        <f t="shared" si="138"/>
        <v>306720</v>
      </c>
      <c r="X981" s="2543">
        <v>255600</v>
      </c>
      <c r="Y981" s="2516"/>
      <c r="Z981" s="2516"/>
    </row>
    <row r="982" spans="1:26" s="9" customFormat="1" ht="18.75">
      <c r="A982" s="80" t="s">
        <v>687</v>
      </c>
      <c r="B982" s="81"/>
      <c r="C982" s="632" t="s">
        <v>688</v>
      </c>
      <c r="D982" s="17"/>
      <c r="E982" s="79"/>
      <c r="F982" s="79"/>
      <c r="G982" s="79"/>
      <c r="H982" s="17"/>
      <c r="I982" s="1047" t="s">
        <v>573</v>
      </c>
      <c r="J982" s="1141">
        <v>306700</v>
      </c>
      <c r="K982" s="1360"/>
      <c r="L982" s="1348">
        <f>SUM(J982:K982)</f>
        <v>306700</v>
      </c>
      <c r="M982" s="1486">
        <f>J982/10000</f>
        <v>30.67</v>
      </c>
      <c r="N982" s="1499"/>
      <c r="O982" s="1440">
        <f>SUM(M982:N982)</f>
        <v>30.67</v>
      </c>
      <c r="P982" s="23"/>
      <c r="Q982" s="53"/>
      <c r="R982" s="2516"/>
      <c r="S982" s="2516"/>
      <c r="T982" s="2516"/>
      <c r="U982" s="2516"/>
      <c r="V982" s="2516"/>
      <c r="W982" s="2523">
        <f t="shared" si="138"/>
        <v>306720</v>
      </c>
      <c r="X982" s="2543">
        <v>255600</v>
      </c>
      <c r="Y982" s="2516"/>
      <c r="Z982" s="2516"/>
    </row>
    <row r="983" spans="1:26" s="9" customFormat="1" ht="18.75">
      <c r="A983" s="74" t="s">
        <v>689</v>
      </c>
      <c r="B983" s="75"/>
      <c r="C983" s="126" t="s">
        <v>690</v>
      </c>
      <c r="D983" s="17"/>
      <c r="E983" s="79"/>
      <c r="F983" s="79"/>
      <c r="G983" s="79"/>
      <c r="H983" s="17"/>
      <c r="I983" s="1047" t="s">
        <v>573</v>
      </c>
      <c r="J983" s="1141">
        <v>255600</v>
      </c>
      <c r="K983" s="1360"/>
      <c r="L983" s="1348">
        <f>SUM(J983:K983)</f>
        <v>255600</v>
      </c>
      <c r="M983" s="1486">
        <f>J983/10000</f>
        <v>25.56</v>
      </c>
      <c r="N983" s="1499"/>
      <c r="O983" s="1440">
        <f>SUM(M983:N983)</f>
        <v>25.56</v>
      </c>
      <c r="P983" s="23"/>
      <c r="Q983" s="53"/>
      <c r="R983" s="2516"/>
      <c r="S983" s="2516"/>
      <c r="T983" s="2516"/>
      <c r="U983" s="2516"/>
      <c r="V983" s="2516"/>
      <c r="W983" s="2523">
        <f t="shared" si="138"/>
        <v>255600</v>
      </c>
      <c r="X983" s="2543">
        <v>213000</v>
      </c>
      <c r="Y983" s="2516"/>
      <c r="Z983" s="2516"/>
    </row>
    <row r="984" spans="1:26" s="9" customFormat="1" ht="18">
      <c r="A984" s="74" t="s">
        <v>691</v>
      </c>
      <c r="B984" s="81"/>
      <c r="C984" s="632" t="s">
        <v>693</v>
      </c>
      <c r="D984" s="17"/>
      <c r="E984" s="79"/>
      <c r="F984" s="79"/>
      <c r="G984" s="79"/>
      <c r="H984" s="17"/>
      <c r="I984" s="1047"/>
      <c r="J984" s="1141"/>
      <c r="K984" s="1360"/>
      <c r="L984" s="1361"/>
      <c r="M984" s="1462"/>
      <c r="N984" s="1499"/>
      <c r="O984" s="1442"/>
      <c r="P984" s="23"/>
      <c r="Q984" s="53"/>
      <c r="R984" s="2516"/>
      <c r="S984" s="2516"/>
      <c r="T984" s="2516"/>
      <c r="U984" s="2516"/>
      <c r="V984" s="2516"/>
      <c r="W984" s="2523">
        <f t="shared" si="138"/>
        <v>0</v>
      </c>
      <c r="X984" s="2543"/>
      <c r="Y984" s="2516"/>
      <c r="Z984" s="2516"/>
    </row>
    <row r="985" spans="1:26" s="9" customFormat="1" ht="18">
      <c r="A985" s="74"/>
      <c r="B985" s="81"/>
      <c r="C985" s="632" t="s">
        <v>694</v>
      </c>
      <c r="D985" s="17"/>
      <c r="E985" s="79"/>
      <c r="F985" s="79"/>
      <c r="G985" s="79"/>
      <c r="H985" s="17"/>
      <c r="I985" s="1047"/>
      <c r="J985" s="1141"/>
      <c r="K985" s="1360"/>
      <c r="L985" s="1361"/>
      <c r="M985" s="1462"/>
      <c r="N985" s="1499"/>
      <c r="O985" s="1442"/>
      <c r="P985" s="23"/>
      <c r="Q985" s="53"/>
      <c r="R985" s="2516"/>
      <c r="S985" s="2516"/>
      <c r="T985" s="2516"/>
      <c r="U985" s="2516"/>
      <c r="V985" s="2516"/>
      <c r="W985" s="2523">
        <f t="shared" si="138"/>
        <v>0</v>
      </c>
      <c r="X985" s="2543"/>
      <c r="Y985" s="2516"/>
      <c r="Z985" s="2516"/>
    </row>
    <row r="986" spans="1:26" s="9" customFormat="1" ht="18.75">
      <c r="A986" s="74"/>
      <c r="B986" s="81"/>
      <c r="C986" s="632" t="s">
        <v>695</v>
      </c>
      <c r="D986" s="17"/>
      <c r="E986" s="79"/>
      <c r="F986" s="79"/>
      <c r="G986" s="79"/>
      <c r="H986" s="17"/>
      <c r="I986" s="1047" t="s">
        <v>573</v>
      </c>
      <c r="J986" s="1141">
        <v>306700</v>
      </c>
      <c r="K986" s="1360"/>
      <c r="L986" s="1348">
        <f>SUM(J986:K986)</f>
        <v>306700</v>
      </c>
      <c r="M986" s="1486">
        <f>J986/10000</f>
        <v>30.67</v>
      </c>
      <c r="N986" s="1499"/>
      <c r="O986" s="1440">
        <f>SUM(M986:N986)</f>
        <v>30.67</v>
      </c>
      <c r="P986" s="23"/>
      <c r="Q986" s="53"/>
      <c r="R986" s="2516"/>
      <c r="S986" s="2516"/>
      <c r="T986" s="2516"/>
      <c r="U986" s="2516"/>
      <c r="V986" s="2516"/>
      <c r="W986" s="2523">
        <f t="shared" si="138"/>
        <v>306720</v>
      </c>
      <c r="X986" s="2543">
        <v>255600</v>
      </c>
      <c r="Y986" s="2516"/>
      <c r="Z986" s="2516"/>
    </row>
    <row r="987" spans="1:26" s="9" customFormat="1" ht="18">
      <c r="A987" s="74" t="s">
        <v>696</v>
      </c>
      <c r="B987" s="75"/>
      <c r="C987" s="126" t="s">
        <v>697</v>
      </c>
      <c r="D987" s="17"/>
      <c r="E987" s="79"/>
      <c r="F987" s="79"/>
      <c r="G987" s="79"/>
      <c r="H987" s="17"/>
      <c r="I987" s="1047"/>
      <c r="J987" s="1141"/>
      <c r="K987" s="1360"/>
      <c r="L987" s="1361"/>
      <c r="M987" s="1462"/>
      <c r="N987" s="1499"/>
      <c r="O987" s="1442"/>
      <c r="P987" s="23"/>
      <c r="Q987" s="53"/>
      <c r="R987" s="2516"/>
      <c r="S987" s="2516"/>
      <c r="T987" s="2516"/>
      <c r="U987" s="2516"/>
      <c r="V987" s="2516"/>
      <c r="W987" s="2523">
        <f t="shared" si="138"/>
        <v>0</v>
      </c>
      <c r="X987" s="2543"/>
      <c r="Y987" s="2516"/>
      <c r="Z987" s="2516"/>
    </row>
    <row r="988" spans="1:26" s="9" customFormat="1" ht="18">
      <c r="A988" s="74"/>
      <c r="B988" s="75"/>
      <c r="C988" s="126" t="s">
        <v>698</v>
      </c>
      <c r="D988" s="17"/>
      <c r="E988" s="79"/>
      <c r="F988" s="79"/>
      <c r="G988" s="79"/>
      <c r="H988" s="17"/>
      <c r="I988" s="1047"/>
      <c r="J988" s="1141"/>
      <c r="K988" s="1360"/>
      <c r="L988" s="1361"/>
      <c r="M988" s="1462"/>
      <c r="N988" s="1499"/>
      <c r="O988" s="1442"/>
      <c r="P988" s="23"/>
      <c r="Q988" s="53"/>
      <c r="R988" s="2516"/>
      <c r="S988" s="2516"/>
      <c r="T988" s="2516"/>
      <c r="U988" s="2516"/>
      <c r="V988" s="2516"/>
      <c r="W988" s="2523">
        <f t="shared" si="138"/>
        <v>0</v>
      </c>
      <c r="X988" s="2543"/>
      <c r="Y988" s="2516"/>
      <c r="Z988" s="2516"/>
    </row>
    <row r="989" spans="1:26" s="9" customFormat="1" ht="18">
      <c r="A989" s="82"/>
      <c r="B989" s="81"/>
      <c r="C989" s="632" t="s">
        <v>699</v>
      </c>
      <c r="D989" s="17"/>
      <c r="E989" s="79"/>
      <c r="F989" s="79"/>
      <c r="G989" s="79"/>
      <c r="H989" s="17"/>
      <c r="I989" s="1047"/>
      <c r="J989" s="1141"/>
      <c r="K989" s="1360"/>
      <c r="L989" s="1361"/>
      <c r="M989" s="1462"/>
      <c r="N989" s="1499"/>
      <c r="O989" s="1442"/>
      <c r="P989" s="23"/>
      <c r="Q989" s="53"/>
      <c r="R989" s="2516"/>
      <c r="S989" s="2516"/>
      <c r="T989" s="2516"/>
      <c r="U989" s="2516"/>
      <c r="V989" s="2516"/>
      <c r="W989" s="2523">
        <f t="shared" si="138"/>
        <v>0</v>
      </c>
      <c r="X989" s="2543"/>
      <c r="Y989" s="2516"/>
      <c r="Z989" s="2516"/>
    </row>
    <row r="990" spans="1:26" s="9" customFormat="1" ht="18.75">
      <c r="A990" s="492"/>
      <c r="B990" s="1037"/>
      <c r="C990" s="633" t="s">
        <v>700</v>
      </c>
      <c r="D990" s="132"/>
      <c r="E990" s="493"/>
      <c r="F990" s="493"/>
      <c r="G990" s="493"/>
      <c r="H990" s="132"/>
      <c r="I990" s="1048" t="s">
        <v>573</v>
      </c>
      <c r="J990" s="1181">
        <v>511200</v>
      </c>
      <c r="K990" s="1362"/>
      <c r="L990" s="1353">
        <f>SUM(J990:K990)</f>
        <v>511200</v>
      </c>
      <c r="M990" s="1486">
        <f>J990/10000</f>
        <v>51.12</v>
      </c>
      <c r="N990" s="1500"/>
      <c r="O990" s="1449">
        <f>SUM(M990:N990)</f>
        <v>51.12</v>
      </c>
      <c r="P990" s="23"/>
      <c r="Q990" s="53"/>
      <c r="R990" s="2516"/>
      <c r="S990" s="2516"/>
      <c r="T990" s="2516"/>
      <c r="U990" s="2516"/>
      <c r="V990" s="2516"/>
      <c r="W990" s="2523">
        <f t="shared" si="138"/>
        <v>511200</v>
      </c>
      <c r="X990" s="2543">
        <v>426000</v>
      </c>
      <c r="Y990" s="2516"/>
      <c r="Z990" s="2516"/>
    </row>
    <row r="991" spans="1:26" s="9" customFormat="1" ht="18">
      <c r="A991" s="68"/>
      <c r="B991" s="67"/>
      <c r="C991" s="26"/>
      <c r="D991" s="3"/>
      <c r="E991" s="3"/>
      <c r="F991" s="48"/>
      <c r="G991" s="48"/>
      <c r="H991" s="10"/>
      <c r="I991" s="1047"/>
      <c r="J991" s="1141"/>
      <c r="K991" s="1360"/>
      <c r="L991" s="1361"/>
      <c r="M991" s="1462"/>
      <c r="N991" s="1499"/>
      <c r="O991" s="1442"/>
      <c r="P991" s="23"/>
      <c r="Q991" s="53"/>
      <c r="R991" s="2516"/>
      <c r="S991" s="2516"/>
      <c r="T991" s="2516"/>
      <c r="U991" s="2516"/>
      <c r="V991" s="2516"/>
      <c r="W991" s="2523">
        <f t="shared" si="138"/>
        <v>0</v>
      </c>
      <c r="X991" s="2543"/>
      <c r="Y991" s="2516"/>
      <c r="Z991" s="2516"/>
    </row>
    <row r="992" spans="1:24" ht="18">
      <c r="A992" s="538">
        <v>11</v>
      </c>
      <c r="B992" s="107" t="s">
        <v>701</v>
      </c>
      <c r="C992" s="1025"/>
      <c r="D992" s="3"/>
      <c r="E992" s="3"/>
      <c r="F992" s="3"/>
      <c r="I992" s="1047"/>
      <c r="J992" s="1141"/>
      <c r="K992" s="1360"/>
      <c r="L992" s="1361"/>
      <c r="M992" s="1462"/>
      <c r="N992" s="1499"/>
      <c r="O992" s="1442"/>
      <c r="P992" s="23"/>
      <c r="W992" s="2523">
        <f t="shared" si="138"/>
        <v>0</v>
      </c>
      <c r="X992" s="2543"/>
    </row>
    <row r="993" spans="1:26" s="19" customFormat="1" ht="18">
      <c r="A993" s="11"/>
      <c r="B993" s="66"/>
      <c r="C993" s="1545" t="s">
        <v>702</v>
      </c>
      <c r="D993" s="3"/>
      <c r="E993" s="3"/>
      <c r="F993" s="2"/>
      <c r="G993" s="2"/>
      <c r="H993" s="2"/>
      <c r="I993" s="1047"/>
      <c r="J993" s="1141"/>
      <c r="K993" s="1360"/>
      <c r="L993" s="1363"/>
      <c r="M993" s="1462"/>
      <c r="N993" s="1499"/>
      <c r="O993" s="1441"/>
      <c r="P993" s="22"/>
      <c r="Q993" s="6"/>
      <c r="R993" s="2509"/>
      <c r="S993" s="2509"/>
      <c r="T993" s="2509"/>
      <c r="U993" s="2509"/>
      <c r="V993" s="2509"/>
      <c r="W993" s="2523">
        <f t="shared" si="138"/>
        <v>0</v>
      </c>
      <c r="X993" s="2543"/>
      <c r="Y993" s="2509"/>
      <c r="Z993" s="2509"/>
    </row>
    <row r="994" spans="1:26" s="19" customFormat="1" ht="18.75">
      <c r="A994" s="11">
        <v>1</v>
      </c>
      <c r="B994" s="67"/>
      <c r="C994" s="1546" t="s">
        <v>703</v>
      </c>
      <c r="D994" s="3"/>
      <c r="E994" s="3"/>
      <c r="F994" s="10"/>
      <c r="G994" s="10"/>
      <c r="H994" s="10"/>
      <c r="I994" s="1047"/>
      <c r="J994" s="1141"/>
      <c r="K994" s="1360"/>
      <c r="L994" s="1348"/>
      <c r="M994" s="1462"/>
      <c r="N994" s="1499"/>
      <c r="O994" s="1440"/>
      <c r="P994" s="22"/>
      <c r="Q994" s="6"/>
      <c r="R994" s="2509"/>
      <c r="S994" s="2509"/>
      <c r="T994" s="2509"/>
      <c r="U994" s="2509"/>
      <c r="V994" s="2509"/>
      <c r="W994" s="2523">
        <f t="shared" si="138"/>
        <v>0</v>
      </c>
      <c r="X994" s="2543"/>
      <c r="Y994" s="2509"/>
      <c r="Z994" s="2509"/>
    </row>
    <row r="995" spans="1:26" s="19" customFormat="1" ht="18.75">
      <c r="A995" s="11"/>
      <c r="B995" s="83" t="s">
        <v>622</v>
      </c>
      <c r="C995" s="126" t="s">
        <v>704</v>
      </c>
      <c r="D995" s="3"/>
      <c r="E995" s="3"/>
      <c r="F995" s="10"/>
      <c r="G995" s="10"/>
      <c r="H995" s="10"/>
      <c r="I995" s="1047" t="s">
        <v>573</v>
      </c>
      <c r="J995" s="1141">
        <v>109800</v>
      </c>
      <c r="K995" s="1360">
        <f>K434</f>
        <v>0.30000000000000004</v>
      </c>
      <c r="L995" s="1348">
        <f>SUM(J995:K995)</f>
        <v>109800.3</v>
      </c>
      <c r="M995" s="1486">
        <f>J995/10000</f>
        <v>10.98</v>
      </c>
      <c r="N995" s="1499">
        <f>N434</f>
        <v>0.30000000000000004</v>
      </c>
      <c r="O995" s="1440">
        <f>SUM(M995:N995)</f>
        <v>11.280000000000001</v>
      </c>
      <c r="P995" s="22"/>
      <c r="Q995" s="6"/>
      <c r="R995" s="2509"/>
      <c r="S995" s="2509"/>
      <c r="T995" s="2509"/>
      <c r="U995" s="2509"/>
      <c r="V995" s="2509"/>
      <c r="W995" s="2523">
        <f t="shared" si="138"/>
        <v>109800</v>
      </c>
      <c r="X995" s="2543">
        <v>91500</v>
      </c>
      <c r="Y995" s="2509"/>
      <c r="Z995" s="2509"/>
    </row>
    <row r="996" spans="1:26" s="19" customFormat="1" ht="18.75">
      <c r="A996" s="11"/>
      <c r="B996" s="83" t="s">
        <v>622</v>
      </c>
      <c r="C996" s="126" t="s">
        <v>705</v>
      </c>
      <c r="D996" s="3"/>
      <c r="E996" s="3"/>
      <c r="F996" s="10"/>
      <c r="G996" s="10"/>
      <c r="H996" s="10"/>
      <c r="I996" s="1047" t="s">
        <v>573</v>
      </c>
      <c r="J996" s="1141">
        <f>J995</f>
        <v>109800</v>
      </c>
      <c r="K996" s="1360">
        <f>K995</f>
        <v>0.30000000000000004</v>
      </c>
      <c r="L996" s="1348">
        <f>SUM(J996:K996)</f>
        <v>109800.3</v>
      </c>
      <c r="M996" s="1486">
        <f>M995</f>
        <v>10.98</v>
      </c>
      <c r="N996" s="1499">
        <f>N995</f>
        <v>0.30000000000000004</v>
      </c>
      <c r="O996" s="1440">
        <f>SUM(M996:N996)</f>
        <v>11.280000000000001</v>
      </c>
      <c r="P996" s="22"/>
      <c r="Q996" s="6"/>
      <c r="R996" s="2509"/>
      <c r="S996" s="2509"/>
      <c r="T996" s="2509"/>
      <c r="U996" s="2509"/>
      <c r="V996" s="2509"/>
      <c r="W996" s="2523">
        <f t="shared" si="138"/>
        <v>109800</v>
      </c>
      <c r="X996" s="2543">
        <f>X995</f>
        <v>91500</v>
      </c>
      <c r="Y996" s="2509"/>
      <c r="Z996" s="2509"/>
    </row>
    <row r="997" spans="1:26" s="19" customFormat="1" ht="18.75">
      <c r="A997" s="11">
        <v>2</v>
      </c>
      <c r="B997" s="67"/>
      <c r="C997" s="1546" t="s">
        <v>706</v>
      </c>
      <c r="D997" s="3"/>
      <c r="E997" s="3"/>
      <c r="F997" s="10"/>
      <c r="G997" s="10"/>
      <c r="H997" s="10"/>
      <c r="I997" s="1047"/>
      <c r="J997" s="1141"/>
      <c r="K997" s="1360"/>
      <c r="L997" s="1348"/>
      <c r="M997" s="1462"/>
      <c r="N997" s="1499"/>
      <c r="O997" s="1440"/>
      <c r="P997" s="22"/>
      <c r="Q997" s="6"/>
      <c r="R997" s="2509"/>
      <c r="S997" s="2509"/>
      <c r="T997" s="2509"/>
      <c r="U997" s="2509"/>
      <c r="V997" s="2509"/>
      <c r="W997" s="2523">
        <f t="shared" si="138"/>
        <v>0</v>
      </c>
      <c r="X997" s="2543"/>
      <c r="Y997" s="2509"/>
      <c r="Z997" s="2509"/>
    </row>
    <row r="998" spans="1:26" s="19" customFormat="1" ht="18.75">
      <c r="A998" s="11"/>
      <c r="B998" s="83" t="s">
        <v>622</v>
      </c>
      <c r="C998" s="126" t="s">
        <v>704</v>
      </c>
      <c r="D998" s="3"/>
      <c r="E998" s="3"/>
      <c r="F998" s="10"/>
      <c r="G998" s="10"/>
      <c r="H998" s="10"/>
      <c r="I998" s="1047" t="s">
        <v>573</v>
      </c>
      <c r="J998" s="1141">
        <v>183000</v>
      </c>
      <c r="K998" s="1360">
        <f>K437</f>
        <v>0.44000000000000006</v>
      </c>
      <c r="L998" s="1348">
        <f>SUM(J998:K998)</f>
        <v>183000.44</v>
      </c>
      <c r="M998" s="1486">
        <f>J998/10000</f>
        <v>18.3</v>
      </c>
      <c r="N998" s="1499">
        <f>N437</f>
        <v>0.44000000000000006</v>
      </c>
      <c r="O998" s="1440">
        <f>SUM(M998:N998)</f>
        <v>18.740000000000002</v>
      </c>
      <c r="P998" s="22"/>
      <c r="Q998" s="6"/>
      <c r="R998" s="2509"/>
      <c r="S998" s="2509"/>
      <c r="T998" s="2509"/>
      <c r="U998" s="2509"/>
      <c r="V998" s="2509"/>
      <c r="W998" s="2523">
        <f t="shared" si="138"/>
        <v>183000</v>
      </c>
      <c r="X998" s="2543">
        <v>152500</v>
      </c>
      <c r="Y998" s="2509"/>
      <c r="Z998" s="2509"/>
    </row>
    <row r="999" spans="1:26" s="19" customFormat="1" ht="18.75">
      <c r="A999" s="11"/>
      <c r="B999" s="83" t="s">
        <v>622</v>
      </c>
      <c r="C999" s="126" t="s">
        <v>705</v>
      </c>
      <c r="D999" s="3"/>
      <c r="E999" s="3"/>
      <c r="F999" s="10"/>
      <c r="G999" s="10"/>
      <c r="H999" s="10"/>
      <c r="I999" s="1047" t="s">
        <v>573</v>
      </c>
      <c r="J999" s="1141">
        <f>J998</f>
        <v>183000</v>
      </c>
      <c r="K999" s="1360">
        <f>K998</f>
        <v>0.44000000000000006</v>
      </c>
      <c r="L999" s="1348">
        <f>SUM(J999:K999)</f>
        <v>183000.44</v>
      </c>
      <c r="M999" s="1486">
        <f>M998</f>
        <v>18.3</v>
      </c>
      <c r="N999" s="1499">
        <f>N998</f>
        <v>0.44000000000000006</v>
      </c>
      <c r="O999" s="1440">
        <f>SUM(M999:N999)</f>
        <v>18.740000000000002</v>
      </c>
      <c r="P999" s="22"/>
      <c r="Q999" s="6"/>
      <c r="R999" s="2509"/>
      <c r="S999" s="2509"/>
      <c r="T999" s="2509"/>
      <c r="U999" s="2509"/>
      <c r="V999" s="2509"/>
      <c r="W999" s="2523">
        <f t="shared" si="138"/>
        <v>183000</v>
      </c>
      <c r="X999" s="2543">
        <f>X998</f>
        <v>152500</v>
      </c>
      <c r="Y999" s="2509"/>
      <c r="Z999" s="2509"/>
    </row>
    <row r="1000" spans="1:26" s="19" customFormat="1" ht="18.75">
      <c r="A1000" s="11">
        <v>3</v>
      </c>
      <c r="B1000" s="67"/>
      <c r="C1000" s="1546" t="s">
        <v>707</v>
      </c>
      <c r="D1000" s="3"/>
      <c r="E1000" s="3"/>
      <c r="F1000" s="10"/>
      <c r="G1000" s="10"/>
      <c r="H1000" s="10"/>
      <c r="I1000" s="1047"/>
      <c r="J1000" s="1141"/>
      <c r="K1000" s="1360"/>
      <c r="L1000" s="1348"/>
      <c r="M1000" s="1462"/>
      <c r="N1000" s="1499"/>
      <c r="O1000" s="1440"/>
      <c r="P1000" s="22"/>
      <c r="Q1000" s="6"/>
      <c r="R1000" s="2509"/>
      <c r="S1000" s="2509"/>
      <c r="T1000" s="2509"/>
      <c r="U1000" s="2509"/>
      <c r="V1000" s="2509"/>
      <c r="W1000" s="2523">
        <f t="shared" si="138"/>
        <v>0</v>
      </c>
      <c r="X1000" s="2543"/>
      <c r="Y1000" s="2509"/>
      <c r="Z1000" s="2509"/>
    </row>
    <row r="1001" spans="1:26" s="19" customFormat="1" ht="18.75">
      <c r="A1001" s="11"/>
      <c r="B1001" s="83" t="s">
        <v>622</v>
      </c>
      <c r="C1001" s="126" t="s">
        <v>704</v>
      </c>
      <c r="D1001" s="3"/>
      <c r="E1001" s="3"/>
      <c r="F1001" s="10"/>
      <c r="G1001" s="10"/>
      <c r="H1001" s="10"/>
      <c r="I1001" s="1047" t="s">
        <v>573</v>
      </c>
      <c r="J1001" s="1141">
        <v>109800</v>
      </c>
      <c r="K1001" s="1360">
        <f>K440</f>
        <v>0.30000000000000004</v>
      </c>
      <c r="L1001" s="1348">
        <f>SUM(J1001:K1001)</f>
        <v>109800.3</v>
      </c>
      <c r="M1001" s="1486">
        <f>J1001/10000</f>
        <v>10.98</v>
      </c>
      <c r="N1001" s="1499">
        <f>N440</f>
        <v>0.30000000000000004</v>
      </c>
      <c r="O1001" s="1440">
        <f>SUM(M1001:N1001)</f>
        <v>11.280000000000001</v>
      </c>
      <c r="P1001" s="22"/>
      <c r="Q1001" s="6"/>
      <c r="R1001" s="2509"/>
      <c r="S1001" s="2509"/>
      <c r="T1001" s="2509"/>
      <c r="U1001" s="2509"/>
      <c r="V1001" s="2509"/>
      <c r="W1001" s="2523">
        <f t="shared" si="138"/>
        <v>109800</v>
      </c>
      <c r="X1001" s="2543">
        <v>91500</v>
      </c>
      <c r="Y1001" s="2509"/>
      <c r="Z1001" s="2509"/>
    </row>
    <row r="1002" spans="1:26" s="19" customFormat="1" ht="18.75">
      <c r="A1002" s="11"/>
      <c r="B1002" s="83" t="s">
        <v>622</v>
      </c>
      <c r="C1002" s="126" t="s">
        <v>705</v>
      </c>
      <c r="D1002" s="3"/>
      <c r="E1002" s="3"/>
      <c r="F1002" s="10"/>
      <c r="G1002" s="10"/>
      <c r="H1002" s="10"/>
      <c r="I1002" s="1047" t="s">
        <v>573</v>
      </c>
      <c r="J1002" s="1141">
        <f>J1001</f>
        <v>109800</v>
      </c>
      <c r="K1002" s="1360">
        <f>K1001</f>
        <v>0.30000000000000004</v>
      </c>
      <c r="L1002" s="1348">
        <f>SUM(J1002:K1002)</f>
        <v>109800.3</v>
      </c>
      <c r="M1002" s="1486">
        <f>M1001</f>
        <v>10.98</v>
      </c>
      <c r="N1002" s="1499">
        <f>N1001</f>
        <v>0.30000000000000004</v>
      </c>
      <c r="O1002" s="1440">
        <f>SUM(M1002:N1002)</f>
        <v>11.280000000000001</v>
      </c>
      <c r="P1002" s="22"/>
      <c r="Q1002" s="6"/>
      <c r="R1002" s="2509"/>
      <c r="S1002" s="2509"/>
      <c r="T1002" s="2509"/>
      <c r="U1002" s="2509"/>
      <c r="V1002" s="2509"/>
      <c r="W1002" s="2523">
        <f t="shared" si="138"/>
        <v>109800</v>
      </c>
      <c r="X1002" s="2543">
        <f>X1001</f>
        <v>91500</v>
      </c>
      <c r="Y1002" s="2509"/>
      <c r="Z1002" s="2509"/>
    </row>
    <row r="1003" spans="1:26" s="19" customFormat="1" ht="18.75">
      <c r="A1003" s="11">
        <v>4</v>
      </c>
      <c r="B1003" s="67"/>
      <c r="C1003" s="1546" t="s">
        <v>708</v>
      </c>
      <c r="D1003" s="3"/>
      <c r="E1003" s="3"/>
      <c r="F1003" s="10"/>
      <c r="G1003" s="10"/>
      <c r="H1003" s="10"/>
      <c r="I1003" s="1047"/>
      <c r="J1003" s="1141"/>
      <c r="K1003" s="1360"/>
      <c r="L1003" s="1348"/>
      <c r="M1003" s="1462"/>
      <c r="N1003" s="1499"/>
      <c r="O1003" s="1440"/>
      <c r="P1003" s="22"/>
      <c r="Q1003" s="6"/>
      <c r="R1003" s="2509"/>
      <c r="S1003" s="2509"/>
      <c r="T1003" s="2509"/>
      <c r="U1003" s="2509"/>
      <c r="V1003" s="2509"/>
      <c r="W1003" s="2523">
        <f t="shared" si="138"/>
        <v>0</v>
      </c>
      <c r="X1003" s="2543"/>
      <c r="Y1003" s="2509"/>
      <c r="Z1003" s="2509"/>
    </row>
    <row r="1004" spans="1:26" s="19" customFormat="1" ht="18.75">
      <c r="A1004" s="11"/>
      <c r="B1004" s="83" t="s">
        <v>622</v>
      </c>
      <c r="C1004" s="126" t="s">
        <v>704</v>
      </c>
      <c r="D1004" s="3"/>
      <c r="E1004" s="3"/>
      <c r="F1004" s="10"/>
      <c r="G1004" s="10"/>
      <c r="H1004" s="10"/>
      <c r="I1004" s="1047" t="s">
        <v>573</v>
      </c>
      <c r="J1004" s="1141">
        <v>73200</v>
      </c>
      <c r="K1004" s="1360">
        <f>K443</f>
        <v>0.30000000000000004</v>
      </c>
      <c r="L1004" s="1348">
        <f>SUM(J1004:K1004)</f>
        <v>73200.3</v>
      </c>
      <c r="M1004" s="1486">
        <f>J1004/10000</f>
        <v>7.32</v>
      </c>
      <c r="N1004" s="1499">
        <f>N443</f>
        <v>0.30000000000000004</v>
      </c>
      <c r="O1004" s="1440">
        <f>SUM(M1004:N1004)</f>
        <v>7.62</v>
      </c>
      <c r="P1004" s="22"/>
      <c r="Q1004" s="6"/>
      <c r="R1004" s="2509"/>
      <c r="S1004" s="2509"/>
      <c r="T1004" s="2509"/>
      <c r="U1004" s="2509"/>
      <c r="V1004" s="2509"/>
      <c r="W1004" s="2523">
        <f t="shared" si="138"/>
        <v>73200</v>
      </c>
      <c r="X1004" s="2543">
        <v>61000</v>
      </c>
      <c r="Y1004" s="2509"/>
      <c r="Z1004" s="2509"/>
    </row>
    <row r="1005" spans="1:26" s="19" customFormat="1" ht="18.75">
      <c r="A1005" s="11"/>
      <c r="B1005" s="83" t="s">
        <v>622</v>
      </c>
      <c r="C1005" s="126" t="s">
        <v>705</v>
      </c>
      <c r="D1005" s="3"/>
      <c r="E1005" s="3"/>
      <c r="F1005" s="10"/>
      <c r="G1005" s="10"/>
      <c r="H1005" s="10"/>
      <c r="I1005" s="1047" t="s">
        <v>573</v>
      </c>
      <c r="J1005" s="1141">
        <f>J1004</f>
        <v>73200</v>
      </c>
      <c r="K1005" s="1360">
        <f>K1004</f>
        <v>0.30000000000000004</v>
      </c>
      <c r="L1005" s="1348">
        <f>SUM(J1005:K1005)</f>
        <v>73200.3</v>
      </c>
      <c r="M1005" s="1486">
        <f>M1004</f>
        <v>7.32</v>
      </c>
      <c r="N1005" s="1499">
        <f>N1004</f>
        <v>0.30000000000000004</v>
      </c>
      <c r="O1005" s="1440">
        <f>SUM(M1005:N1005)</f>
        <v>7.62</v>
      </c>
      <c r="P1005" s="22"/>
      <c r="Q1005" s="6"/>
      <c r="R1005" s="2509"/>
      <c r="S1005" s="2509"/>
      <c r="T1005" s="2509"/>
      <c r="U1005" s="2509"/>
      <c r="V1005" s="2509"/>
      <c r="W1005" s="2523">
        <f t="shared" si="138"/>
        <v>73200</v>
      </c>
      <c r="X1005" s="2543">
        <f>X1004</f>
        <v>61000</v>
      </c>
      <c r="Y1005" s="2509"/>
      <c r="Z1005" s="2509"/>
    </row>
    <row r="1006" spans="1:26" s="19" customFormat="1" ht="18.75">
      <c r="A1006" s="11"/>
      <c r="B1006" s="67"/>
      <c r="C1006" s="1545" t="s">
        <v>709</v>
      </c>
      <c r="D1006" s="3"/>
      <c r="E1006" s="3"/>
      <c r="F1006" s="2"/>
      <c r="G1006" s="2"/>
      <c r="H1006" s="2"/>
      <c r="I1006" s="1047"/>
      <c r="J1006" s="1141"/>
      <c r="K1006" s="1360"/>
      <c r="L1006" s="1348"/>
      <c r="M1006" s="1462"/>
      <c r="N1006" s="1499"/>
      <c r="O1006" s="1440"/>
      <c r="P1006" s="22"/>
      <c r="Q1006" s="6"/>
      <c r="R1006" s="2509"/>
      <c r="S1006" s="2509"/>
      <c r="T1006" s="2509"/>
      <c r="U1006" s="2509"/>
      <c r="V1006" s="2509"/>
      <c r="W1006" s="2523">
        <f t="shared" si="138"/>
        <v>0</v>
      </c>
      <c r="X1006" s="2543"/>
      <c r="Y1006" s="2509"/>
      <c r="Z1006" s="2509"/>
    </row>
    <row r="1007" spans="1:26" s="19" customFormat="1" ht="18.75">
      <c r="A1007" s="11">
        <v>5</v>
      </c>
      <c r="B1007" s="67"/>
      <c r="C1007" s="1546" t="s">
        <v>710</v>
      </c>
      <c r="D1007" s="3"/>
      <c r="E1007" s="3"/>
      <c r="F1007" s="10"/>
      <c r="G1007" s="10"/>
      <c r="H1007" s="10"/>
      <c r="I1007" s="1047"/>
      <c r="J1007" s="1141"/>
      <c r="K1007" s="1360"/>
      <c r="L1007" s="1348"/>
      <c r="M1007" s="1462"/>
      <c r="N1007" s="1499"/>
      <c r="O1007" s="1440"/>
      <c r="P1007" s="22"/>
      <c r="Q1007" s="6"/>
      <c r="R1007" s="2509"/>
      <c r="S1007" s="2509"/>
      <c r="T1007" s="2509"/>
      <c r="U1007" s="2509"/>
      <c r="V1007" s="2509"/>
      <c r="W1007" s="2523">
        <f t="shared" si="138"/>
        <v>0</v>
      </c>
      <c r="X1007" s="2543"/>
      <c r="Y1007" s="2509"/>
      <c r="Z1007" s="2509"/>
    </row>
    <row r="1008" spans="1:26" s="19" customFormat="1" ht="18.75">
      <c r="A1008" s="11"/>
      <c r="B1008" s="83" t="s">
        <v>622</v>
      </c>
      <c r="C1008" s="126" t="s">
        <v>704</v>
      </c>
      <c r="D1008" s="3"/>
      <c r="E1008" s="3"/>
      <c r="F1008" s="10"/>
      <c r="G1008" s="10"/>
      <c r="H1008" s="10"/>
      <c r="I1008" s="1047" t="s">
        <v>573</v>
      </c>
      <c r="J1008" s="1141">
        <v>146400</v>
      </c>
      <c r="K1008" s="1360">
        <f>K447</f>
        <v>0.30000000000000004</v>
      </c>
      <c r="L1008" s="1348">
        <f>SUM(J1008:K1008)</f>
        <v>146400.3</v>
      </c>
      <c r="M1008" s="1486">
        <f>J1008/10000</f>
        <v>14.64</v>
      </c>
      <c r="N1008" s="1499">
        <f>N447</f>
        <v>0.30000000000000004</v>
      </c>
      <c r="O1008" s="1440">
        <f>SUM(M1008:N1008)</f>
        <v>14.940000000000001</v>
      </c>
      <c r="P1008" s="22"/>
      <c r="Q1008" s="6"/>
      <c r="R1008" s="2509"/>
      <c r="S1008" s="2509"/>
      <c r="T1008" s="2509"/>
      <c r="U1008" s="2509"/>
      <c r="V1008" s="2509"/>
      <c r="W1008" s="2523">
        <f t="shared" si="138"/>
        <v>146400</v>
      </c>
      <c r="X1008" s="2543">
        <v>122000</v>
      </c>
      <c r="Y1008" s="2509"/>
      <c r="Z1008" s="2509"/>
    </row>
    <row r="1009" spans="1:26" s="19" customFormat="1" ht="18.75">
      <c r="A1009" s="11"/>
      <c r="B1009" s="83" t="s">
        <v>622</v>
      </c>
      <c r="C1009" s="126" t="s">
        <v>705</v>
      </c>
      <c r="D1009" s="3"/>
      <c r="E1009" s="3"/>
      <c r="F1009" s="10"/>
      <c r="G1009" s="10"/>
      <c r="H1009" s="10"/>
      <c r="I1009" s="1047" t="s">
        <v>573</v>
      </c>
      <c r="J1009" s="1141">
        <f>J1008</f>
        <v>146400</v>
      </c>
      <c r="K1009" s="1360">
        <f>K1008</f>
        <v>0.30000000000000004</v>
      </c>
      <c r="L1009" s="1348">
        <f>SUM(J1009:K1009)</f>
        <v>146400.3</v>
      </c>
      <c r="M1009" s="1486">
        <f>M1008</f>
        <v>14.64</v>
      </c>
      <c r="N1009" s="1499">
        <f>N1008</f>
        <v>0.30000000000000004</v>
      </c>
      <c r="O1009" s="1440">
        <f>SUM(M1009:N1009)</f>
        <v>14.940000000000001</v>
      </c>
      <c r="P1009" s="22"/>
      <c r="Q1009" s="6"/>
      <c r="R1009" s="2509"/>
      <c r="S1009" s="2509"/>
      <c r="T1009" s="2509"/>
      <c r="U1009" s="2509"/>
      <c r="V1009" s="2509"/>
      <c r="W1009" s="2523">
        <f t="shared" si="138"/>
        <v>146400</v>
      </c>
      <c r="X1009" s="2543">
        <f>X1008</f>
        <v>122000</v>
      </c>
      <c r="Y1009" s="2509"/>
      <c r="Z1009" s="2509"/>
    </row>
    <row r="1010" spans="1:26" s="19" customFormat="1" ht="18.75">
      <c r="A1010" s="11">
        <v>6</v>
      </c>
      <c r="B1010" s="67"/>
      <c r="C1010" s="1546" t="s">
        <v>723</v>
      </c>
      <c r="D1010" s="3"/>
      <c r="E1010" s="3"/>
      <c r="F1010" s="10"/>
      <c r="G1010" s="10"/>
      <c r="H1010" s="10"/>
      <c r="I1010" s="1047"/>
      <c r="J1010" s="1141"/>
      <c r="K1010" s="1360"/>
      <c r="L1010" s="1348"/>
      <c r="M1010" s="1462"/>
      <c r="N1010" s="1499"/>
      <c r="O1010" s="1440"/>
      <c r="P1010" s="22"/>
      <c r="Q1010" s="6"/>
      <c r="R1010" s="2509"/>
      <c r="S1010" s="2509"/>
      <c r="T1010" s="2509"/>
      <c r="U1010" s="2509"/>
      <c r="V1010" s="2509"/>
      <c r="W1010" s="2523">
        <f t="shared" si="138"/>
        <v>0</v>
      </c>
      <c r="X1010" s="2543"/>
      <c r="Y1010" s="2509"/>
      <c r="Z1010" s="2509"/>
    </row>
    <row r="1011" spans="1:26" s="19" customFormat="1" ht="18.75">
      <c r="A1011" s="11"/>
      <c r="B1011" s="83" t="s">
        <v>622</v>
      </c>
      <c r="C1011" s="126" t="s">
        <v>704</v>
      </c>
      <c r="D1011" s="3"/>
      <c r="E1011" s="3"/>
      <c r="F1011" s="10"/>
      <c r="G1011" s="10"/>
      <c r="H1011" s="10"/>
      <c r="I1011" s="1047" t="s">
        <v>573</v>
      </c>
      <c r="J1011" s="1141">
        <v>73200</v>
      </c>
      <c r="K1011" s="1360">
        <f>K450</f>
        <v>0.30000000000000004</v>
      </c>
      <c r="L1011" s="1348">
        <f>SUM(J1011:K1011)</f>
        <v>73200.3</v>
      </c>
      <c r="M1011" s="1486">
        <f>J1011/10000</f>
        <v>7.32</v>
      </c>
      <c r="N1011" s="1499">
        <f>N450</f>
        <v>0.30000000000000004</v>
      </c>
      <c r="O1011" s="1440">
        <f>SUM(M1011:N1011)</f>
        <v>7.62</v>
      </c>
      <c r="P1011" s="22"/>
      <c r="Q1011" s="6"/>
      <c r="R1011" s="2509"/>
      <c r="S1011" s="2509"/>
      <c r="T1011" s="2509"/>
      <c r="U1011" s="2509"/>
      <c r="V1011" s="2509"/>
      <c r="W1011" s="2523">
        <f t="shared" si="138"/>
        <v>73200</v>
      </c>
      <c r="X1011" s="2543">
        <v>61000</v>
      </c>
      <c r="Y1011" s="2509"/>
      <c r="Z1011" s="2509"/>
    </row>
    <row r="1012" spans="1:26" s="19" customFormat="1" ht="18.75">
      <c r="A1012" s="11"/>
      <c r="B1012" s="83" t="s">
        <v>622</v>
      </c>
      <c r="C1012" s="126" t="s">
        <v>705</v>
      </c>
      <c r="D1012" s="3"/>
      <c r="E1012" s="3"/>
      <c r="F1012" s="10"/>
      <c r="G1012" s="10"/>
      <c r="H1012" s="10"/>
      <c r="I1012" s="1047" t="s">
        <v>573</v>
      </c>
      <c r="J1012" s="1141">
        <f>J1011</f>
        <v>73200</v>
      </c>
      <c r="K1012" s="1360">
        <f>K1011</f>
        <v>0.30000000000000004</v>
      </c>
      <c r="L1012" s="1348">
        <f>SUM(J1012:K1012)</f>
        <v>73200.3</v>
      </c>
      <c r="M1012" s="1486">
        <f>M1011</f>
        <v>7.32</v>
      </c>
      <c r="N1012" s="1499">
        <f>N1011</f>
        <v>0.30000000000000004</v>
      </c>
      <c r="O1012" s="1440">
        <f>SUM(M1012:N1012)</f>
        <v>7.62</v>
      </c>
      <c r="P1012" s="22"/>
      <c r="Q1012" s="6"/>
      <c r="R1012" s="2509"/>
      <c r="S1012" s="2509"/>
      <c r="T1012" s="2509"/>
      <c r="U1012" s="2509"/>
      <c r="V1012" s="2509"/>
      <c r="W1012" s="2523">
        <f t="shared" si="138"/>
        <v>73200</v>
      </c>
      <c r="X1012" s="2543">
        <f>X1011</f>
        <v>61000</v>
      </c>
      <c r="Y1012" s="2509"/>
      <c r="Z1012" s="2509"/>
    </row>
    <row r="1013" spans="1:26" s="19" customFormat="1" ht="18.75">
      <c r="A1013" s="11">
        <v>7</v>
      </c>
      <c r="B1013" s="67"/>
      <c r="C1013" s="1546" t="s">
        <v>725</v>
      </c>
      <c r="D1013" s="3"/>
      <c r="E1013" s="3"/>
      <c r="F1013" s="10"/>
      <c r="G1013" s="10"/>
      <c r="H1013" s="10"/>
      <c r="I1013" s="1047"/>
      <c r="J1013" s="1141"/>
      <c r="K1013" s="1360"/>
      <c r="L1013" s="1348"/>
      <c r="M1013" s="1462"/>
      <c r="N1013" s="1499"/>
      <c r="O1013" s="1440"/>
      <c r="P1013" s="22"/>
      <c r="Q1013" s="6"/>
      <c r="R1013" s="2509"/>
      <c r="S1013" s="2509"/>
      <c r="T1013" s="2509"/>
      <c r="U1013" s="2509"/>
      <c r="V1013" s="2509"/>
      <c r="W1013" s="2523">
        <f t="shared" si="138"/>
        <v>0</v>
      </c>
      <c r="X1013" s="2543"/>
      <c r="Y1013" s="2509"/>
      <c r="Z1013" s="2509"/>
    </row>
    <row r="1014" spans="1:26" s="19" customFormat="1" ht="18.75">
      <c r="A1014" s="11"/>
      <c r="B1014" s="83" t="s">
        <v>622</v>
      </c>
      <c r="C1014" s="126" t="s">
        <v>704</v>
      </c>
      <c r="D1014" s="3"/>
      <c r="E1014" s="3"/>
      <c r="F1014" s="10"/>
      <c r="G1014" s="10"/>
      <c r="H1014" s="10"/>
      <c r="I1014" s="1047" t="s">
        <v>573</v>
      </c>
      <c r="J1014" s="1141">
        <v>109800</v>
      </c>
      <c r="K1014" s="1360">
        <f>K453</f>
        <v>0.44000000000000006</v>
      </c>
      <c r="L1014" s="1348">
        <f>SUM(J1014:K1014)</f>
        <v>109800.44</v>
      </c>
      <c r="M1014" s="1486">
        <f>J1014/10000</f>
        <v>10.98</v>
      </c>
      <c r="N1014" s="1499">
        <f>N453</f>
        <v>0.44000000000000006</v>
      </c>
      <c r="O1014" s="1440">
        <f>SUM(M1014:N1014)</f>
        <v>11.42</v>
      </c>
      <c r="P1014" s="22"/>
      <c r="Q1014" s="6"/>
      <c r="R1014" s="2509"/>
      <c r="S1014" s="2509"/>
      <c r="T1014" s="2509"/>
      <c r="U1014" s="2509"/>
      <c r="V1014" s="2509"/>
      <c r="W1014" s="2523">
        <f t="shared" si="138"/>
        <v>109800</v>
      </c>
      <c r="X1014" s="2543">
        <v>91500</v>
      </c>
      <c r="Y1014" s="2509"/>
      <c r="Z1014" s="2509"/>
    </row>
    <row r="1015" spans="1:26" s="19" customFormat="1" ht="18.75">
      <c r="A1015" s="11"/>
      <c r="B1015" s="83" t="s">
        <v>622</v>
      </c>
      <c r="C1015" s="126" t="s">
        <v>705</v>
      </c>
      <c r="D1015" s="3"/>
      <c r="E1015" s="3"/>
      <c r="F1015" s="10"/>
      <c r="G1015" s="10"/>
      <c r="H1015" s="10"/>
      <c r="I1015" s="1047" t="s">
        <v>573</v>
      </c>
      <c r="J1015" s="1141">
        <f>J1014</f>
        <v>109800</v>
      </c>
      <c r="K1015" s="1360">
        <f>K1014</f>
        <v>0.44000000000000006</v>
      </c>
      <c r="L1015" s="1348">
        <f>SUM(J1015:K1015)</f>
        <v>109800.44</v>
      </c>
      <c r="M1015" s="1486">
        <f>M1014</f>
        <v>10.98</v>
      </c>
      <c r="N1015" s="1499">
        <f>N1014</f>
        <v>0.44000000000000006</v>
      </c>
      <c r="O1015" s="1440">
        <f>SUM(M1015:N1015)</f>
        <v>11.42</v>
      </c>
      <c r="P1015" s="22"/>
      <c r="Q1015" s="6"/>
      <c r="R1015" s="2509"/>
      <c r="S1015" s="2509"/>
      <c r="T1015" s="2509"/>
      <c r="U1015" s="2509"/>
      <c r="V1015" s="2509"/>
      <c r="W1015" s="2523">
        <f aca="true" t="shared" si="139" ref="W1015:W1078">X1015*1.2</f>
        <v>109800</v>
      </c>
      <c r="X1015" s="2543">
        <f>X1014</f>
        <v>91500</v>
      </c>
      <c r="Y1015" s="2509"/>
      <c r="Z1015" s="2509"/>
    </row>
    <row r="1016" spans="1:26" s="19" customFormat="1" ht="18.75">
      <c r="A1016" s="11">
        <v>8</v>
      </c>
      <c r="B1016" s="67"/>
      <c r="C1016" s="1546" t="s">
        <v>726</v>
      </c>
      <c r="D1016" s="3"/>
      <c r="E1016" s="3"/>
      <c r="F1016" s="10"/>
      <c r="G1016" s="10"/>
      <c r="H1016" s="10"/>
      <c r="I1016" s="1047"/>
      <c r="J1016" s="1141"/>
      <c r="K1016" s="1360"/>
      <c r="L1016" s="1348"/>
      <c r="M1016" s="1462"/>
      <c r="N1016" s="1499"/>
      <c r="O1016" s="1440"/>
      <c r="P1016" s="22"/>
      <c r="Q1016" s="6"/>
      <c r="R1016" s="2509"/>
      <c r="S1016" s="2509"/>
      <c r="T1016" s="2509"/>
      <c r="U1016" s="2509"/>
      <c r="V1016" s="2509"/>
      <c r="W1016" s="2523">
        <f t="shared" si="139"/>
        <v>0</v>
      </c>
      <c r="X1016" s="2543"/>
      <c r="Y1016" s="2509"/>
      <c r="Z1016" s="2509"/>
    </row>
    <row r="1017" spans="1:26" s="19" customFormat="1" ht="18.75">
      <c r="A1017" s="11"/>
      <c r="B1017" s="83" t="s">
        <v>622</v>
      </c>
      <c r="C1017" s="126" t="s">
        <v>704</v>
      </c>
      <c r="D1017" s="3"/>
      <c r="E1017" s="3"/>
      <c r="F1017" s="10"/>
      <c r="G1017" s="10"/>
      <c r="H1017" s="10"/>
      <c r="I1017" s="1047" t="s">
        <v>573</v>
      </c>
      <c r="J1017" s="1141">
        <v>183000</v>
      </c>
      <c r="K1017" s="1360">
        <f>K456</f>
        <v>0.44000000000000006</v>
      </c>
      <c r="L1017" s="1348">
        <f>SUM(J1017:K1017)</f>
        <v>183000.44</v>
      </c>
      <c r="M1017" s="1486">
        <f>J1017/10000</f>
        <v>18.3</v>
      </c>
      <c r="N1017" s="1499">
        <f>N456</f>
        <v>0.44000000000000006</v>
      </c>
      <c r="O1017" s="1440">
        <f>SUM(M1017:N1017)</f>
        <v>18.740000000000002</v>
      </c>
      <c r="P1017" s="22"/>
      <c r="Q1017" s="6"/>
      <c r="R1017" s="2509"/>
      <c r="S1017" s="2509"/>
      <c r="T1017" s="2509"/>
      <c r="U1017" s="2509"/>
      <c r="V1017" s="2509"/>
      <c r="W1017" s="2523">
        <f t="shared" si="139"/>
        <v>183000</v>
      </c>
      <c r="X1017" s="2543">
        <v>152500</v>
      </c>
      <c r="Y1017" s="2509"/>
      <c r="Z1017" s="2509"/>
    </row>
    <row r="1018" spans="1:26" s="19" customFormat="1" ht="18.75">
      <c r="A1018" s="11"/>
      <c r="B1018" s="83" t="s">
        <v>622</v>
      </c>
      <c r="C1018" s="126" t="s">
        <v>705</v>
      </c>
      <c r="D1018" s="3"/>
      <c r="E1018" s="3"/>
      <c r="F1018" s="10"/>
      <c r="G1018" s="10"/>
      <c r="H1018" s="10"/>
      <c r="I1018" s="1047" t="s">
        <v>573</v>
      </c>
      <c r="J1018" s="1141">
        <f>J1017</f>
        <v>183000</v>
      </c>
      <c r="K1018" s="1360">
        <f>K1017</f>
        <v>0.44000000000000006</v>
      </c>
      <c r="L1018" s="1348">
        <f>SUM(J1018:K1018)</f>
        <v>183000.44</v>
      </c>
      <c r="M1018" s="1486">
        <f>M1017</f>
        <v>18.3</v>
      </c>
      <c r="N1018" s="1499">
        <f>N1017</f>
        <v>0.44000000000000006</v>
      </c>
      <c r="O1018" s="1440">
        <f>SUM(M1018:N1018)</f>
        <v>18.740000000000002</v>
      </c>
      <c r="P1018" s="22"/>
      <c r="Q1018" s="6"/>
      <c r="R1018" s="2509"/>
      <c r="S1018" s="2509"/>
      <c r="T1018" s="2509"/>
      <c r="U1018" s="2509"/>
      <c r="V1018" s="2509"/>
      <c r="W1018" s="2523">
        <f t="shared" si="139"/>
        <v>183000</v>
      </c>
      <c r="X1018" s="2543">
        <f>X1017</f>
        <v>152500</v>
      </c>
      <c r="Y1018" s="2509"/>
      <c r="Z1018" s="2509"/>
    </row>
    <row r="1019" spans="1:26" s="19" customFormat="1" ht="18.75">
      <c r="A1019" s="11">
        <v>9</v>
      </c>
      <c r="B1019" s="67"/>
      <c r="C1019" s="1546" t="s">
        <v>727</v>
      </c>
      <c r="D1019" s="3"/>
      <c r="E1019" s="3"/>
      <c r="F1019" s="10"/>
      <c r="G1019" s="10"/>
      <c r="H1019" s="10"/>
      <c r="I1019" s="1047"/>
      <c r="J1019" s="1141"/>
      <c r="K1019" s="1360"/>
      <c r="L1019" s="1348"/>
      <c r="M1019" s="1462"/>
      <c r="N1019" s="1499"/>
      <c r="O1019" s="1440"/>
      <c r="P1019" s="22"/>
      <c r="Q1019" s="6"/>
      <c r="R1019" s="2509"/>
      <c r="S1019" s="2509"/>
      <c r="T1019" s="2509"/>
      <c r="U1019" s="2509"/>
      <c r="V1019" s="2509"/>
      <c r="W1019" s="2523">
        <f t="shared" si="139"/>
        <v>0</v>
      </c>
      <c r="X1019" s="2543"/>
      <c r="Y1019" s="2509"/>
      <c r="Z1019" s="2509"/>
    </row>
    <row r="1020" spans="1:26" s="19" customFormat="1" ht="18.75">
      <c r="A1020" s="11"/>
      <c r="B1020" s="67"/>
      <c r="C1020" s="1546" t="s">
        <v>728</v>
      </c>
      <c r="D1020" s="3"/>
      <c r="E1020" s="3"/>
      <c r="F1020" s="10"/>
      <c r="G1020" s="10"/>
      <c r="H1020" s="10"/>
      <c r="I1020" s="1047"/>
      <c r="J1020" s="1141"/>
      <c r="K1020" s="1360"/>
      <c r="L1020" s="1348"/>
      <c r="M1020" s="1462"/>
      <c r="N1020" s="1499"/>
      <c r="O1020" s="1440"/>
      <c r="P1020" s="22"/>
      <c r="Q1020" s="6"/>
      <c r="R1020" s="2509"/>
      <c r="S1020" s="2509"/>
      <c r="T1020" s="2509"/>
      <c r="U1020" s="2509"/>
      <c r="V1020" s="2509"/>
      <c r="W1020" s="2523">
        <f t="shared" si="139"/>
        <v>0</v>
      </c>
      <c r="X1020" s="2543"/>
      <c r="Y1020" s="2509"/>
      <c r="Z1020" s="2509"/>
    </row>
    <row r="1021" spans="1:26" s="19" customFormat="1" ht="18.75">
      <c r="A1021" s="11"/>
      <c r="B1021" s="83" t="s">
        <v>622</v>
      </c>
      <c r="C1021" s="126" t="s">
        <v>704</v>
      </c>
      <c r="D1021" s="3"/>
      <c r="E1021" s="3"/>
      <c r="F1021" s="10"/>
      <c r="G1021" s="10"/>
      <c r="H1021" s="10"/>
      <c r="I1021" s="1047" t="s">
        <v>573</v>
      </c>
      <c r="J1021" s="1141">
        <v>219700</v>
      </c>
      <c r="K1021" s="1360">
        <f>K460</f>
        <v>0.44000000000000006</v>
      </c>
      <c r="L1021" s="1348">
        <f>SUM(J1021:K1021)</f>
        <v>219700.44</v>
      </c>
      <c r="M1021" s="1486">
        <f>J1021/10000</f>
        <v>21.97</v>
      </c>
      <c r="N1021" s="1499">
        <f>N460</f>
        <v>0.44000000000000006</v>
      </c>
      <c r="O1021" s="1440">
        <f>SUM(M1021:N1021)</f>
        <v>22.41</v>
      </c>
      <c r="P1021" s="22"/>
      <c r="Q1021" s="6"/>
      <c r="R1021" s="2509"/>
      <c r="S1021" s="2509"/>
      <c r="T1021" s="2509"/>
      <c r="U1021" s="2509"/>
      <c r="V1021" s="2509"/>
      <c r="W1021" s="2523">
        <f t="shared" si="139"/>
        <v>219720</v>
      </c>
      <c r="X1021" s="2543">
        <v>183100</v>
      </c>
      <c r="Y1021" s="2509"/>
      <c r="Z1021" s="2509"/>
    </row>
    <row r="1022" spans="1:26" s="19" customFormat="1" ht="18.75">
      <c r="A1022" s="11"/>
      <c r="B1022" s="83" t="s">
        <v>622</v>
      </c>
      <c r="C1022" s="126" t="s">
        <v>705</v>
      </c>
      <c r="D1022" s="3"/>
      <c r="E1022" s="3"/>
      <c r="F1022" s="10"/>
      <c r="G1022" s="10"/>
      <c r="H1022" s="10"/>
      <c r="I1022" s="1047" t="s">
        <v>573</v>
      </c>
      <c r="J1022" s="1141">
        <f>J1021</f>
        <v>219700</v>
      </c>
      <c r="K1022" s="1360">
        <f>K1021</f>
        <v>0.44000000000000006</v>
      </c>
      <c r="L1022" s="1348">
        <f>SUM(J1022:K1022)</f>
        <v>219700.44</v>
      </c>
      <c r="M1022" s="1486">
        <f>M1021</f>
        <v>21.97</v>
      </c>
      <c r="N1022" s="1499">
        <f>N1021</f>
        <v>0.44000000000000006</v>
      </c>
      <c r="O1022" s="1440">
        <f>SUM(M1022:N1022)</f>
        <v>22.41</v>
      </c>
      <c r="P1022" s="22"/>
      <c r="Q1022" s="6"/>
      <c r="R1022" s="2509"/>
      <c r="S1022" s="2509"/>
      <c r="T1022" s="2509"/>
      <c r="U1022" s="2509"/>
      <c r="V1022" s="2509"/>
      <c r="W1022" s="2523">
        <f t="shared" si="139"/>
        <v>219720</v>
      </c>
      <c r="X1022" s="2543">
        <f>X1021</f>
        <v>183100</v>
      </c>
      <c r="Y1022" s="2509"/>
      <c r="Z1022" s="2509"/>
    </row>
    <row r="1023" spans="1:26" s="19" customFormat="1" ht="18.75">
      <c r="A1023" s="11">
        <v>10</v>
      </c>
      <c r="B1023" s="67"/>
      <c r="C1023" s="1546" t="s">
        <v>729</v>
      </c>
      <c r="D1023" s="3"/>
      <c r="E1023" s="3"/>
      <c r="F1023" s="10"/>
      <c r="G1023" s="10"/>
      <c r="H1023" s="10"/>
      <c r="I1023" s="1047"/>
      <c r="J1023" s="1141"/>
      <c r="K1023" s="1360"/>
      <c r="L1023" s="1348"/>
      <c r="M1023" s="1462"/>
      <c r="N1023" s="1499"/>
      <c r="O1023" s="1440"/>
      <c r="P1023" s="22"/>
      <c r="Q1023" s="6"/>
      <c r="R1023" s="2509"/>
      <c r="S1023" s="2509"/>
      <c r="T1023" s="2509"/>
      <c r="U1023" s="2509"/>
      <c r="V1023" s="2509"/>
      <c r="W1023" s="2523">
        <f t="shared" si="139"/>
        <v>0</v>
      </c>
      <c r="X1023" s="2543"/>
      <c r="Y1023" s="2509"/>
      <c r="Z1023" s="2509"/>
    </row>
    <row r="1024" spans="1:26" s="19" customFormat="1" ht="18.75">
      <c r="A1024" s="11"/>
      <c r="B1024" s="67"/>
      <c r="C1024" s="1546" t="s">
        <v>730</v>
      </c>
      <c r="D1024" s="3"/>
      <c r="E1024" s="3"/>
      <c r="F1024" s="10"/>
      <c r="G1024" s="10"/>
      <c r="H1024" s="10"/>
      <c r="I1024" s="1047"/>
      <c r="J1024" s="1141"/>
      <c r="K1024" s="1360"/>
      <c r="L1024" s="1348"/>
      <c r="M1024" s="1462"/>
      <c r="N1024" s="1499"/>
      <c r="O1024" s="1440"/>
      <c r="P1024" s="22"/>
      <c r="Q1024" s="6"/>
      <c r="R1024" s="2509"/>
      <c r="S1024" s="2509"/>
      <c r="T1024" s="2509"/>
      <c r="U1024" s="2509"/>
      <c r="V1024" s="2509"/>
      <c r="W1024" s="2523">
        <f t="shared" si="139"/>
        <v>0</v>
      </c>
      <c r="X1024" s="2543"/>
      <c r="Y1024" s="2509"/>
      <c r="Z1024" s="2509"/>
    </row>
    <row r="1025" spans="1:26" s="19" customFormat="1" ht="18.75">
      <c r="A1025" s="11"/>
      <c r="B1025" s="83" t="s">
        <v>622</v>
      </c>
      <c r="C1025" s="126" t="s">
        <v>704</v>
      </c>
      <c r="D1025" s="3"/>
      <c r="E1025" s="3"/>
      <c r="F1025" s="10"/>
      <c r="G1025" s="10"/>
      <c r="H1025" s="10"/>
      <c r="I1025" s="1047" t="s">
        <v>573</v>
      </c>
      <c r="J1025" s="1141">
        <v>183000</v>
      </c>
      <c r="K1025" s="1360">
        <f>K464</f>
        <v>0.44000000000000006</v>
      </c>
      <c r="L1025" s="1348">
        <f>SUM(J1025:K1025)</f>
        <v>183000.44</v>
      </c>
      <c r="M1025" s="1486">
        <f>J1025/10000</f>
        <v>18.3</v>
      </c>
      <c r="N1025" s="1499">
        <f>N464</f>
        <v>0.44000000000000006</v>
      </c>
      <c r="O1025" s="1440">
        <f>SUM(M1025:N1025)</f>
        <v>18.740000000000002</v>
      </c>
      <c r="P1025" s="22"/>
      <c r="Q1025" s="6"/>
      <c r="R1025" s="2509"/>
      <c r="S1025" s="2509"/>
      <c r="T1025" s="2509"/>
      <c r="U1025" s="2509"/>
      <c r="V1025" s="2509"/>
      <c r="W1025" s="2523">
        <f t="shared" si="139"/>
        <v>183000</v>
      </c>
      <c r="X1025" s="2543">
        <v>152500</v>
      </c>
      <c r="Y1025" s="2509"/>
      <c r="Z1025" s="2509"/>
    </row>
    <row r="1026" spans="1:26" s="19" customFormat="1" ht="18.75">
      <c r="A1026" s="11"/>
      <c r="B1026" s="83" t="s">
        <v>622</v>
      </c>
      <c r="C1026" s="126" t="s">
        <v>705</v>
      </c>
      <c r="D1026" s="3"/>
      <c r="E1026" s="3"/>
      <c r="F1026" s="10"/>
      <c r="G1026" s="10"/>
      <c r="H1026" s="10"/>
      <c r="I1026" s="1047" t="s">
        <v>573</v>
      </c>
      <c r="J1026" s="1141">
        <f>J1025</f>
        <v>183000</v>
      </c>
      <c r="K1026" s="1360">
        <f>K1025</f>
        <v>0.44000000000000006</v>
      </c>
      <c r="L1026" s="1348">
        <f>SUM(J1026:K1026)</f>
        <v>183000.44</v>
      </c>
      <c r="M1026" s="1486">
        <f>M1025</f>
        <v>18.3</v>
      </c>
      <c r="N1026" s="1499">
        <f>N1025</f>
        <v>0.44000000000000006</v>
      </c>
      <c r="O1026" s="1440">
        <f>SUM(M1026:N1026)</f>
        <v>18.740000000000002</v>
      </c>
      <c r="P1026" s="22"/>
      <c r="Q1026" s="6"/>
      <c r="R1026" s="2509"/>
      <c r="S1026" s="2509"/>
      <c r="T1026" s="2509"/>
      <c r="U1026" s="2509"/>
      <c r="V1026" s="2509"/>
      <c r="W1026" s="2523">
        <f t="shared" si="139"/>
        <v>183000</v>
      </c>
      <c r="X1026" s="2543">
        <f>X1025</f>
        <v>152500</v>
      </c>
      <c r="Y1026" s="2509"/>
      <c r="Z1026" s="2509"/>
    </row>
    <row r="1027" spans="1:26" s="19" customFormat="1" ht="18.75">
      <c r="A1027" s="11">
        <v>11</v>
      </c>
      <c r="B1027" s="67"/>
      <c r="C1027" s="1546" t="s">
        <v>731</v>
      </c>
      <c r="D1027" s="3"/>
      <c r="E1027" s="3"/>
      <c r="F1027" s="10"/>
      <c r="G1027" s="10"/>
      <c r="H1027" s="10"/>
      <c r="I1027" s="1047"/>
      <c r="J1027" s="1141"/>
      <c r="K1027" s="1360"/>
      <c r="L1027" s="1348"/>
      <c r="M1027" s="1462"/>
      <c r="N1027" s="1499"/>
      <c r="O1027" s="1440"/>
      <c r="P1027" s="22"/>
      <c r="Q1027" s="6"/>
      <c r="R1027" s="2509"/>
      <c r="S1027" s="2509"/>
      <c r="T1027" s="2509"/>
      <c r="U1027" s="2509"/>
      <c r="V1027" s="2509"/>
      <c r="W1027" s="2523">
        <f t="shared" si="139"/>
        <v>0</v>
      </c>
      <c r="X1027" s="2543"/>
      <c r="Y1027" s="2509"/>
      <c r="Z1027" s="2509"/>
    </row>
    <row r="1028" spans="1:26" s="19" customFormat="1" ht="18.75">
      <c r="A1028" s="11"/>
      <c r="B1028" s="83" t="s">
        <v>622</v>
      </c>
      <c r="C1028" s="126" t="s">
        <v>704</v>
      </c>
      <c r="D1028" s="3"/>
      <c r="E1028" s="3"/>
      <c r="F1028" s="10"/>
      <c r="G1028" s="10"/>
      <c r="H1028" s="10"/>
      <c r="I1028" s="1047" t="s">
        <v>573</v>
      </c>
      <c r="J1028" s="1141">
        <v>109800</v>
      </c>
      <c r="K1028" s="1360">
        <f>K467</f>
        <v>0.30000000000000004</v>
      </c>
      <c r="L1028" s="1348">
        <f>SUM(J1028:K1028)</f>
        <v>109800.3</v>
      </c>
      <c r="M1028" s="1486">
        <f>J1028/10000</f>
        <v>10.98</v>
      </c>
      <c r="N1028" s="1499">
        <f>N467</f>
        <v>0.30000000000000004</v>
      </c>
      <c r="O1028" s="1440">
        <f>SUM(M1028:N1028)</f>
        <v>11.280000000000001</v>
      </c>
      <c r="P1028" s="22"/>
      <c r="Q1028" s="6"/>
      <c r="R1028" s="2509"/>
      <c r="S1028" s="2509"/>
      <c r="T1028" s="2509"/>
      <c r="U1028" s="2509"/>
      <c r="V1028" s="2509"/>
      <c r="W1028" s="2523">
        <f t="shared" si="139"/>
        <v>109800</v>
      </c>
      <c r="X1028" s="2543">
        <v>91500</v>
      </c>
      <c r="Y1028" s="2509"/>
      <c r="Z1028" s="2509"/>
    </row>
    <row r="1029" spans="1:26" s="19" customFormat="1" ht="18.75">
      <c r="A1029" s="11"/>
      <c r="B1029" s="83" t="s">
        <v>622</v>
      </c>
      <c r="C1029" s="126" t="s">
        <v>705</v>
      </c>
      <c r="D1029" s="3"/>
      <c r="E1029" s="3"/>
      <c r="F1029" s="10"/>
      <c r="G1029" s="10"/>
      <c r="H1029" s="10"/>
      <c r="I1029" s="1047" t="s">
        <v>573</v>
      </c>
      <c r="J1029" s="1141">
        <f>J1028</f>
        <v>109800</v>
      </c>
      <c r="K1029" s="1360">
        <f>K1028</f>
        <v>0.30000000000000004</v>
      </c>
      <c r="L1029" s="1348">
        <f>SUM(J1029:K1029)</f>
        <v>109800.3</v>
      </c>
      <c r="M1029" s="1486">
        <f>M1028</f>
        <v>10.98</v>
      </c>
      <c r="N1029" s="1499">
        <f>N1028</f>
        <v>0.30000000000000004</v>
      </c>
      <c r="O1029" s="1440">
        <f>SUM(M1029:N1029)</f>
        <v>11.280000000000001</v>
      </c>
      <c r="P1029" s="22"/>
      <c r="Q1029" s="6"/>
      <c r="R1029" s="2509"/>
      <c r="S1029" s="2509"/>
      <c r="T1029" s="2509"/>
      <c r="U1029" s="2509"/>
      <c r="V1029" s="2509"/>
      <c r="W1029" s="2523">
        <f t="shared" si="139"/>
        <v>109800</v>
      </c>
      <c r="X1029" s="2543">
        <f>X1028</f>
        <v>91500</v>
      </c>
      <c r="Y1029" s="2509"/>
      <c r="Z1029" s="2509"/>
    </row>
    <row r="1030" spans="1:26" s="19" customFormat="1" ht="18.75">
      <c r="A1030" s="11">
        <v>12</v>
      </c>
      <c r="B1030" s="67"/>
      <c r="C1030" s="1546" t="s">
        <v>732</v>
      </c>
      <c r="D1030" s="3"/>
      <c r="E1030" s="3"/>
      <c r="F1030" s="10"/>
      <c r="G1030" s="10"/>
      <c r="H1030" s="10"/>
      <c r="I1030" s="1047"/>
      <c r="J1030" s="1141"/>
      <c r="K1030" s="1360"/>
      <c r="L1030" s="1348"/>
      <c r="M1030" s="1462"/>
      <c r="N1030" s="1499"/>
      <c r="O1030" s="1440"/>
      <c r="P1030" s="22"/>
      <c r="Q1030" s="6"/>
      <c r="R1030" s="2509"/>
      <c r="S1030" s="2509"/>
      <c r="T1030" s="2509"/>
      <c r="U1030" s="2509"/>
      <c r="V1030" s="2509"/>
      <c r="W1030" s="2523">
        <f t="shared" si="139"/>
        <v>0</v>
      </c>
      <c r="X1030" s="2543"/>
      <c r="Y1030" s="2509"/>
      <c r="Z1030" s="2509"/>
    </row>
    <row r="1031" spans="1:26" s="19" customFormat="1" ht="18.75">
      <c r="A1031" s="11"/>
      <c r="B1031" s="83" t="s">
        <v>622</v>
      </c>
      <c r="C1031" s="126" t="s">
        <v>704</v>
      </c>
      <c r="D1031" s="3"/>
      <c r="E1031" s="3"/>
      <c r="F1031" s="10"/>
      <c r="G1031" s="10"/>
      <c r="H1031" s="10"/>
      <c r="I1031" s="1047" t="s">
        <v>573</v>
      </c>
      <c r="J1031" s="1141">
        <v>146400</v>
      </c>
      <c r="K1031" s="1360">
        <f>K470</f>
        <v>0.30000000000000004</v>
      </c>
      <c r="L1031" s="1348">
        <f>SUM(J1031:K1031)</f>
        <v>146400.3</v>
      </c>
      <c r="M1031" s="1486">
        <f>J1031/10000</f>
        <v>14.64</v>
      </c>
      <c r="N1031" s="1499">
        <f>N470</f>
        <v>0.30000000000000004</v>
      </c>
      <c r="O1031" s="1440">
        <f>SUM(M1031:N1031)</f>
        <v>14.940000000000001</v>
      </c>
      <c r="P1031" s="22"/>
      <c r="Q1031" s="6"/>
      <c r="R1031" s="2509"/>
      <c r="S1031" s="2509"/>
      <c r="T1031" s="2509"/>
      <c r="U1031" s="2509"/>
      <c r="V1031" s="2509"/>
      <c r="W1031" s="2523">
        <f t="shared" si="139"/>
        <v>146400</v>
      </c>
      <c r="X1031" s="2543">
        <v>122000</v>
      </c>
      <c r="Y1031" s="2509"/>
      <c r="Z1031" s="2509"/>
    </row>
    <row r="1032" spans="1:26" s="19" customFormat="1" ht="18.75">
      <c r="A1032" s="11"/>
      <c r="B1032" s="83" t="s">
        <v>622</v>
      </c>
      <c r="C1032" s="126" t="s">
        <v>705</v>
      </c>
      <c r="D1032" s="3"/>
      <c r="E1032" s="3"/>
      <c r="F1032" s="10"/>
      <c r="G1032" s="10"/>
      <c r="H1032" s="10"/>
      <c r="I1032" s="1047" t="s">
        <v>573</v>
      </c>
      <c r="J1032" s="1141">
        <f>J1031</f>
        <v>146400</v>
      </c>
      <c r="K1032" s="1360">
        <f>K1031</f>
        <v>0.30000000000000004</v>
      </c>
      <c r="L1032" s="1348">
        <f>SUM(J1032:K1032)</f>
        <v>146400.3</v>
      </c>
      <c r="M1032" s="1486">
        <f>M1031</f>
        <v>14.64</v>
      </c>
      <c r="N1032" s="1499">
        <f>N1031</f>
        <v>0.30000000000000004</v>
      </c>
      <c r="O1032" s="1440">
        <f>SUM(M1032:N1032)</f>
        <v>14.940000000000001</v>
      </c>
      <c r="P1032" s="22"/>
      <c r="Q1032" s="6"/>
      <c r="R1032" s="2509"/>
      <c r="S1032" s="2509"/>
      <c r="T1032" s="2509"/>
      <c r="U1032" s="2509"/>
      <c r="V1032" s="2509"/>
      <c r="W1032" s="2523">
        <f t="shared" si="139"/>
        <v>146400</v>
      </c>
      <c r="X1032" s="2543">
        <f>X1031</f>
        <v>122000</v>
      </c>
      <c r="Y1032" s="2509"/>
      <c r="Z1032" s="2509"/>
    </row>
    <row r="1033" spans="1:26" s="19" customFormat="1" ht="18.75">
      <c r="A1033" s="11">
        <v>13</v>
      </c>
      <c r="B1033" s="67"/>
      <c r="C1033" s="1546" t="s">
        <v>733</v>
      </c>
      <c r="D1033" s="3"/>
      <c r="E1033" s="3"/>
      <c r="F1033" s="10"/>
      <c r="G1033" s="10"/>
      <c r="H1033" s="10"/>
      <c r="I1033" s="1047"/>
      <c r="J1033" s="1141"/>
      <c r="K1033" s="1360"/>
      <c r="L1033" s="1348"/>
      <c r="M1033" s="1462"/>
      <c r="N1033" s="1499"/>
      <c r="O1033" s="1440"/>
      <c r="P1033" s="22"/>
      <c r="Q1033" s="6"/>
      <c r="R1033" s="2509"/>
      <c r="S1033" s="2509"/>
      <c r="T1033" s="2509"/>
      <c r="U1033" s="2509"/>
      <c r="V1033" s="2509"/>
      <c r="W1033" s="2523">
        <f t="shared" si="139"/>
        <v>0</v>
      </c>
      <c r="X1033" s="2543"/>
      <c r="Y1033" s="2509"/>
      <c r="Z1033" s="2509"/>
    </row>
    <row r="1034" spans="1:26" s="19" customFormat="1" ht="18.75">
      <c r="A1034" s="11"/>
      <c r="B1034" s="83" t="s">
        <v>622</v>
      </c>
      <c r="C1034" s="126" t="s">
        <v>704</v>
      </c>
      <c r="D1034" s="3"/>
      <c r="E1034" s="3"/>
      <c r="F1034" s="10"/>
      <c r="G1034" s="10"/>
      <c r="H1034" s="10"/>
      <c r="I1034" s="1047" t="s">
        <v>573</v>
      </c>
      <c r="J1034" s="1141">
        <v>146400</v>
      </c>
      <c r="K1034" s="1360">
        <f>K473</f>
        <v>0.30000000000000004</v>
      </c>
      <c r="L1034" s="1348">
        <f>SUM(J1034:K1034)</f>
        <v>146400.3</v>
      </c>
      <c r="M1034" s="1486">
        <f>J1034/10000</f>
        <v>14.64</v>
      </c>
      <c r="N1034" s="1499">
        <f>N473</f>
        <v>0.30000000000000004</v>
      </c>
      <c r="O1034" s="1440">
        <f>SUM(M1034:N1034)</f>
        <v>14.940000000000001</v>
      </c>
      <c r="P1034" s="22"/>
      <c r="Q1034" s="6"/>
      <c r="R1034" s="2509"/>
      <c r="S1034" s="2509"/>
      <c r="T1034" s="2509"/>
      <c r="U1034" s="2509"/>
      <c r="V1034" s="2509"/>
      <c r="W1034" s="2523">
        <f t="shared" si="139"/>
        <v>146400</v>
      </c>
      <c r="X1034" s="2543">
        <v>122000</v>
      </c>
      <c r="Y1034" s="2509"/>
      <c r="Z1034" s="2509"/>
    </row>
    <row r="1035" spans="1:26" s="19" customFormat="1" ht="18.75">
      <c r="A1035" s="11"/>
      <c r="B1035" s="83" t="s">
        <v>622</v>
      </c>
      <c r="C1035" s="126" t="s">
        <v>705</v>
      </c>
      <c r="D1035" s="3"/>
      <c r="E1035" s="3"/>
      <c r="F1035" s="10"/>
      <c r="G1035" s="10"/>
      <c r="H1035" s="10"/>
      <c r="I1035" s="1047" t="s">
        <v>573</v>
      </c>
      <c r="J1035" s="1141">
        <f>J1034</f>
        <v>146400</v>
      </c>
      <c r="K1035" s="1360">
        <f>K1034</f>
        <v>0.30000000000000004</v>
      </c>
      <c r="L1035" s="1348">
        <f>SUM(J1035:K1035)</f>
        <v>146400.3</v>
      </c>
      <c r="M1035" s="1486">
        <f>M1034</f>
        <v>14.64</v>
      </c>
      <c r="N1035" s="1499">
        <f>N1034</f>
        <v>0.30000000000000004</v>
      </c>
      <c r="O1035" s="1440">
        <f>SUM(M1035:N1035)</f>
        <v>14.940000000000001</v>
      </c>
      <c r="P1035" s="22"/>
      <c r="Q1035" s="6"/>
      <c r="R1035" s="2509"/>
      <c r="S1035" s="2509"/>
      <c r="T1035" s="2509"/>
      <c r="U1035" s="2509"/>
      <c r="V1035" s="2509"/>
      <c r="W1035" s="2523">
        <f t="shared" si="139"/>
        <v>146400</v>
      </c>
      <c r="X1035" s="2543">
        <f>X1034</f>
        <v>122000</v>
      </c>
      <c r="Y1035" s="2509"/>
      <c r="Z1035" s="2509"/>
    </row>
    <row r="1036" spans="1:31" s="19" customFormat="1" ht="18.75">
      <c r="A1036" s="11">
        <v>14</v>
      </c>
      <c r="B1036" s="67"/>
      <c r="C1036" s="1546" t="s">
        <v>734</v>
      </c>
      <c r="D1036" s="3"/>
      <c r="E1036" s="3"/>
      <c r="F1036" s="10"/>
      <c r="G1036" s="10"/>
      <c r="H1036" s="10"/>
      <c r="I1036" s="1047"/>
      <c r="J1036" s="1141"/>
      <c r="K1036" s="1360"/>
      <c r="L1036" s="1348"/>
      <c r="M1036" s="1462"/>
      <c r="N1036" s="1499"/>
      <c r="O1036" s="1440"/>
      <c r="P1036" s="22"/>
      <c r="Q1036" s="6"/>
      <c r="R1036" s="2509"/>
      <c r="S1036" s="2509"/>
      <c r="T1036" s="2517"/>
      <c r="U1036" s="2517"/>
      <c r="V1036" s="2517"/>
      <c r="W1036" s="2523">
        <f t="shared" si="139"/>
        <v>0</v>
      </c>
      <c r="X1036" s="2543"/>
      <c r="Y1036" s="2509"/>
      <c r="Z1036" s="2509"/>
      <c r="AA1036" s="6"/>
      <c r="AB1036" s="6"/>
      <c r="AC1036" s="6"/>
      <c r="AD1036" s="6"/>
      <c r="AE1036" s="6"/>
    </row>
    <row r="1037" spans="1:31" s="19" customFormat="1" ht="18.75">
      <c r="A1037" s="11"/>
      <c r="B1037" s="83" t="s">
        <v>622</v>
      </c>
      <c r="C1037" s="126" t="s">
        <v>704</v>
      </c>
      <c r="D1037" s="3"/>
      <c r="E1037" s="3"/>
      <c r="F1037" s="10"/>
      <c r="G1037" s="10"/>
      <c r="H1037" s="10"/>
      <c r="I1037" s="1047" t="s">
        <v>573</v>
      </c>
      <c r="J1037" s="1141">
        <v>146400</v>
      </c>
      <c r="K1037" s="1360">
        <f>K476</f>
        <v>0.30000000000000004</v>
      </c>
      <c r="L1037" s="1348">
        <f>SUM(J1037:K1037)</f>
        <v>146400.3</v>
      </c>
      <c r="M1037" s="1486">
        <f>J1037/10000</f>
        <v>14.64</v>
      </c>
      <c r="N1037" s="1499">
        <f>N476</f>
        <v>0.30000000000000004</v>
      </c>
      <c r="O1037" s="1440">
        <f>SUM(M1037:N1037)</f>
        <v>14.940000000000001</v>
      </c>
      <c r="P1037" s="22"/>
      <c r="Q1037" s="6"/>
      <c r="R1037" s="2509"/>
      <c r="S1037" s="2509"/>
      <c r="T1037" s="2517"/>
      <c r="U1037" s="2517"/>
      <c r="V1037" s="2517"/>
      <c r="W1037" s="2523">
        <f t="shared" si="139"/>
        <v>146400</v>
      </c>
      <c r="X1037" s="2543">
        <v>122000</v>
      </c>
      <c r="Y1037" s="2509"/>
      <c r="Z1037" s="2509"/>
      <c r="AA1037" s="6"/>
      <c r="AB1037" s="6"/>
      <c r="AC1037" s="6"/>
      <c r="AD1037" s="6"/>
      <c r="AE1037" s="6"/>
    </row>
    <row r="1038" spans="1:31" s="19" customFormat="1" ht="18.75">
      <c r="A1038" s="11"/>
      <c r="B1038" s="83" t="s">
        <v>622</v>
      </c>
      <c r="C1038" s="126" t="s">
        <v>705</v>
      </c>
      <c r="D1038" s="3"/>
      <c r="E1038" s="3"/>
      <c r="F1038" s="10"/>
      <c r="G1038" s="10"/>
      <c r="H1038" s="10"/>
      <c r="I1038" s="1047" t="s">
        <v>573</v>
      </c>
      <c r="J1038" s="1141">
        <f>J1037</f>
        <v>146400</v>
      </c>
      <c r="K1038" s="1360">
        <f>K1037</f>
        <v>0.30000000000000004</v>
      </c>
      <c r="L1038" s="1348">
        <f>SUM(J1038:K1038)</f>
        <v>146400.3</v>
      </c>
      <c r="M1038" s="1486">
        <f>M1037</f>
        <v>14.64</v>
      </c>
      <c r="N1038" s="1499">
        <f>N1037</f>
        <v>0.30000000000000004</v>
      </c>
      <c r="O1038" s="1440">
        <f>SUM(M1038:N1038)</f>
        <v>14.940000000000001</v>
      </c>
      <c r="P1038" s="22"/>
      <c r="Q1038" s="6"/>
      <c r="R1038" s="2509"/>
      <c r="S1038" s="2509"/>
      <c r="T1038" s="2517"/>
      <c r="U1038" s="2517"/>
      <c r="V1038" s="2517"/>
      <c r="W1038" s="2523">
        <f t="shared" si="139"/>
        <v>146400</v>
      </c>
      <c r="X1038" s="2543">
        <f>X1037</f>
        <v>122000</v>
      </c>
      <c r="Y1038" s="2509"/>
      <c r="Z1038" s="2509"/>
      <c r="AA1038" s="6"/>
      <c r="AB1038" s="6"/>
      <c r="AC1038" s="6"/>
      <c r="AD1038" s="6"/>
      <c r="AE1038" s="6"/>
    </row>
    <row r="1039" spans="1:31" s="19" customFormat="1" ht="18.75">
      <c r="A1039" s="11">
        <v>15</v>
      </c>
      <c r="B1039" s="67"/>
      <c r="C1039" s="1546" t="s">
        <v>735</v>
      </c>
      <c r="D1039" s="3"/>
      <c r="E1039" s="3"/>
      <c r="F1039" s="10"/>
      <c r="G1039" s="10"/>
      <c r="H1039" s="10"/>
      <c r="I1039" s="1047"/>
      <c r="J1039" s="1141"/>
      <c r="K1039" s="1360"/>
      <c r="L1039" s="1348"/>
      <c r="M1039" s="1462"/>
      <c r="N1039" s="1499"/>
      <c r="O1039" s="1440"/>
      <c r="P1039" s="22"/>
      <c r="Q1039" s="6"/>
      <c r="R1039" s="2509"/>
      <c r="S1039" s="2509"/>
      <c r="T1039" s="2517"/>
      <c r="U1039" s="2517"/>
      <c r="V1039" s="2517"/>
      <c r="W1039" s="2523">
        <f t="shared" si="139"/>
        <v>0</v>
      </c>
      <c r="X1039" s="2543"/>
      <c r="Y1039" s="2509"/>
      <c r="Z1039" s="2509"/>
      <c r="AA1039" s="6"/>
      <c r="AB1039" s="6"/>
      <c r="AC1039" s="6"/>
      <c r="AD1039" s="6"/>
      <c r="AE1039" s="6"/>
    </row>
    <row r="1040" spans="1:31" s="19" customFormat="1" ht="18.75">
      <c r="A1040" s="11"/>
      <c r="B1040" s="83" t="s">
        <v>622</v>
      </c>
      <c r="C1040" s="126" t="s">
        <v>704</v>
      </c>
      <c r="D1040" s="3"/>
      <c r="E1040" s="3"/>
      <c r="F1040" s="10"/>
      <c r="G1040" s="10"/>
      <c r="H1040" s="10"/>
      <c r="I1040" s="1047" t="s">
        <v>573</v>
      </c>
      <c r="J1040" s="1141">
        <v>146400</v>
      </c>
      <c r="K1040" s="1360">
        <f>K479</f>
        <v>0.37</v>
      </c>
      <c r="L1040" s="1348">
        <f>SUM(J1040:K1040)</f>
        <v>146400.37</v>
      </c>
      <c r="M1040" s="1486">
        <f>J1040/10000</f>
        <v>14.64</v>
      </c>
      <c r="N1040" s="1499">
        <f>N479</f>
        <v>0.37</v>
      </c>
      <c r="O1040" s="1440">
        <f>SUM(M1040:N1040)</f>
        <v>15.01</v>
      </c>
      <c r="P1040" s="22"/>
      <c r="Q1040" s="6"/>
      <c r="R1040" s="2509"/>
      <c r="S1040" s="2509"/>
      <c r="T1040" s="2517"/>
      <c r="U1040" s="2517"/>
      <c r="V1040" s="2517"/>
      <c r="W1040" s="2523">
        <f t="shared" si="139"/>
        <v>146400</v>
      </c>
      <c r="X1040" s="2543">
        <v>122000</v>
      </c>
      <c r="Y1040" s="2509"/>
      <c r="Z1040" s="2509"/>
      <c r="AA1040" s="6"/>
      <c r="AB1040" s="6"/>
      <c r="AC1040" s="6"/>
      <c r="AD1040" s="6"/>
      <c r="AE1040" s="6"/>
    </row>
    <row r="1041" spans="1:31" s="19" customFormat="1" ht="18.75">
      <c r="A1041" s="11"/>
      <c r="B1041" s="83" t="s">
        <v>622</v>
      </c>
      <c r="C1041" s="126" t="s">
        <v>705</v>
      </c>
      <c r="D1041" s="3"/>
      <c r="E1041" s="3"/>
      <c r="F1041" s="10"/>
      <c r="G1041" s="10"/>
      <c r="H1041" s="10"/>
      <c r="I1041" s="1047" t="s">
        <v>573</v>
      </c>
      <c r="J1041" s="1141">
        <f>J1040</f>
        <v>146400</v>
      </c>
      <c r="K1041" s="1360">
        <f>K1040</f>
        <v>0.37</v>
      </c>
      <c r="L1041" s="1348">
        <f>SUM(J1041:K1041)</f>
        <v>146400.37</v>
      </c>
      <c r="M1041" s="1486">
        <f>M1040</f>
        <v>14.64</v>
      </c>
      <c r="N1041" s="1499">
        <f>N1040</f>
        <v>0.37</v>
      </c>
      <c r="O1041" s="1440">
        <f>SUM(M1041:N1041)</f>
        <v>15.01</v>
      </c>
      <c r="P1041" s="22"/>
      <c r="Q1041" s="6"/>
      <c r="R1041" s="2509"/>
      <c r="S1041" s="2509"/>
      <c r="T1041" s="2517"/>
      <c r="U1041" s="2517"/>
      <c r="V1041" s="2517"/>
      <c r="W1041" s="2523">
        <f t="shared" si="139"/>
        <v>146400</v>
      </c>
      <c r="X1041" s="2543">
        <f>X1040</f>
        <v>122000</v>
      </c>
      <c r="Y1041" s="2509"/>
      <c r="Z1041" s="2509"/>
      <c r="AA1041" s="6"/>
      <c r="AB1041" s="6"/>
      <c r="AC1041" s="6"/>
      <c r="AD1041" s="6"/>
      <c r="AE1041" s="6"/>
    </row>
    <row r="1042" spans="1:31" s="19" customFormat="1" ht="18.75">
      <c r="A1042" s="11">
        <v>16</v>
      </c>
      <c r="B1042" s="67"/>
      <c r="C1042" s="1546" t="s">
        <v>736</v>
      </c>
      <c r="D1042" s="3"/>
      <c r="E1042" s="3"/>
      <c r="F1042" s="10"/>
      <c r="G1042" s="10"/>
      <c r="H1042" s="10"/>
      <c r="I1042" s="1047"/>
      <c r="J1042" s="1141"/>
      <c r="K1042" s="1360"/>
      <c r="L1042" s="1348"/>
      <c r="M1042" s="1462"/>
      <c r="N1042" s="1499"/>
      <c r="O1042" s="1440"/>
      <c r="P1042" s="22"/>
      <c r="Q1042" s="6"/>
      <c r="R1042" s="2509"/>
      <c r="S1042" s="2509"/>
      <c r="T1042" s="2517"/>
      <c r="U1042" s="2517"/>
      <c r="V1042" s="2517"/>
      <c r="W1042" s="2523">
        <f t="shared" si="139"/>
        <v>0</v>
      </c>
      <c r="X1042" s="2543"/>
      <c r="Y1042" s="2509"/>
      <c r="Z1042" s="2509"/>
      <c r="AA1042" s="6"/>
      <c r="AB1042" s="6"/>
      <c r="AC1042" s="6"/>
      <c r="AD1042" s="6"/>
      <c r="AE1042" s="6"/>
    </row>
    <row r="1043" spans="1:31" s="19" customFormat="1" ht="18.75">
      <c r="A1043" s="11"/>
      <c r="B1043" s="83" t="s">
        <v>622</v>
      </c>
      <c r="C1043" s="126" t="s">
        <v>704</v>
      </c>
      <c r="D1043" s="3"/>
      <c r="E1043" s="3"/>
      <c r="F1043" s="10"/>
      <c r="G1043" s="10"/>
      <c r="H1043" s="10"/>
      <c r="I1043" s="1047" t="s">
        <v>573</v>
      </c>
      <c r="J1043" s="1141">
        <v>219700</v>
      </c>
      <c r="K1043" s="1360">
        <f>K482</f>
        <v>0.37</v>
      </c>
      <c r="L1043" s="1348">
        <f>SUM(J1043:K1043)</f>
        <v>219700.37</v>
      </c>
      <c r="M1043" s="1486">
        <f>J1043/10000</f>
        <v>21.97</v>
      </c>
      <c r="N1043" s="1499">
        <f>N482</f>
        <v>0.37</v>
      </c>
      <c r="O1043" s="1440">
        <f>SUM(M1043:N1043)</f>
        <v>22.34</v>
      </c>
      <c r="P1043" s="22"/>
      <c r="Q1043" s="6"/>
      <c r="R1043" s="2509"/>
      <c r="S1043" s="2509"/>
      <c r="T1043" s="2517"/>
      <c r="U1043" s="2517"/>
      <c r="V1043" s="2517"/>
      <c r="W1043" s="2523">
        <f t="shared" si="139"/>
        <v>219720</v>
      </c>
      <c r="X1043" s="2543">
        <v>183100</v>
      </c>
      <c r="Y1043" s="2509"/>
      <c r="Z1043" s="2509"/>
      <c r="AA1043" s="6"/>
      <c r="AB1043" s="6"/>
      <c r="AC1043" s="6"/>
      <c r="AD1043" s="6"/>
      <c r="AE1043" s="6"/>
    </row>
    <row r="1044" spans="1:31" s="19" customFormat="1" ht="18.75">
      <c r="A1044" s="11"/>
      <c r="B1044" s="83" t="s">
        <v>622</v>
      </c>
      <c r="C1044" s="126" t="s">
        <v>705</v>
      </c>
      <c r="D1044" s="3"/>
      <c r="E1044" s="3"/>
      <c r="F1044" s="10"/>
      <c r="G1044" s="10"/>
      <c r="H1044" s="10"/>
      <c r="I1044" s="1047" t="s">
        <v>573</v>
      </c>
      <c r="J1044" s="1141">
        <f>J1043</f>
        <v>219700</v>
      </c>
      <c r="K1044" s="1360">
        <f>K1043</f>
        <v>0.37</v>
      </c>
      <c r="L1044" s="1348">
        <f>SUM(J1044:K1044)</f>
        <v>219700.37</v>
      </c>
      <c r="M1044" s="1486">
        <f>M1043</f>
        <v>21.97</v>
      </c>
      <c r="N1044" s="1499">
        <f>N1043</f>
        <v>0.37</v>
      </c>
      <c r="O1044" s="1440">
        <f>SUM(M1044:N1044)</f>
        <v>22.34</v>
      </c>
      <c r="P1044" s="22"/>
      <c r="Q1044" s="6"/>
      <c r="R1044" s="2509"/>
      <c r="S1044" s="2509"/>
      <c r="T1044" s="2517"/>
      <c r="U1044" s="2517"/>
      <c r="V1044" s="2517"/>
      <c r="W1044" s="2523">
        <f t="shared" si="139"/>
        <v>219720</v>
      </c>
      <c r="X1044" s="2543">
        <f>X1043</f>
        <v>183100</v>
      </c>
      <c r="Y1044" s="2509"/>
      <c r="Z1044" s="2509"/>
      <c r="AA1044" s="6"/>
      <c r="AB1044" s="6"/>
      <c r="AC1044" s="6"/>
      <c r="AD1044" s="6"/>
      <c r="AE1044" s="6"/>
    </row>
    <row r="1045" spans="1:31" s="19" customFormat="1" ht="18.75">
      <c r="A1045" s="11">
        <v>17</v>
      </c>
      <c r="B1045" s="67"/>
      <c r="C1045" s="1546" t="s">
        <v>737</v>
      </c>
      <c r="D1045" s="3"/>
      <c r="E1045" s="3"/>
      <c r="F1045" s="10"/>
      <c r="G1045" s="10"/>
      <c r="H1045" s="10"/>
      <c r="I1045" s="41"/>
      <c r="J1045" s="1141"/>
      <c r="K1045" s="1360"/>
      <c r="L1045" s="1348"/>
      <c r="M1045" s="1462"/>
      <c r="N1045" s="1499"/>
      <c r="O1045" s="1440"/>
      <c r="P1045" s="22"/>
      <c r="Q1045" s="6"/>
      <c r="R1045" s="2509"/>
      <c r="S1045" s="2509"/>
      <c r="T1045" s="2517"/>
      <c r="U1045" s="2517"/>
      <c r="V1045" s="2517"/>
      <c r="W1045" s="2523">
        <f t="shared" si="139"/>
        <v>0</v>
      </c>
      <c r="X1045" s="2543"/>
      <c r="Y1045" s="2509"/>
      <c r="Z1045" s="2509"/>
      <c r="AA1045" s="6"/>
      <c r="AB1045" s="6"/>
      <c r="AC1045" s="6"/>
      <c r="AD1045" s="6"/>
      <c r="AE1045" s="6"/>
    </row>
    <row r="1046" spans="1:31" s="19" customFormat="1" ht="18.75">
      <c r="A1046" s="11"/>
      <c r="B1046" s="83" t="s">
        <v>622</v>
      </c>
      <c r="C1046" s="126" t="s">
        <v>704</v>
      </c>
      <c r="D1046" s="3"/>
      <c r="E1046" s="3"/>
      <c r="F1046" s="10"/>
      <c r="G1046" s="10"/>
      <c r="H1046" s="10"/>
      <c r="I1046" s="41" t="s">
        <v>573</v>
      </c>
      <c r="J1046" s="1141">
        <v>219700</v>
      </c>
      <c r="K1046" s="1360">
        <f>K485</f>
        <v>0.51</v>
      </c>
      <c r="L1046" s="1348">
        <f>SUM(J1046:K1046)</f>
        <v>219700.51</v>
      </c>
      <c r="M1046" s="1486">
        <f>J1046/10000</f>
        <v>21.97</v>
      </c>
      <c r="N1046" s="1499">
        <f>N485</f>
        <v>0.51</v>
      </c>
      <c r="O1046" s="1440">
        <f>SUM(M1046:N1046)</f>
        <v>22.48</v>
      </c>
      <c r="P1046" s="22"/>
      <c r="Q1046" s="6"/>
      <c r="R1046" s="2509"/>
      <c r="S1046" s="2509"/>
      <c r="T1046" s="2517"/>
      <c r="U1046" s="2517"/>
      <c r="V1046" s="2517"/>
      <c r="W1046" s="2523">
        <f t="shared" si="139"/>
        <v>219720</v>
      </c>
      <c r="X1046" s="2543">
        <v>183100</v>
      </c>
      <c r="Y1046" s="2509"/>
      <c r="Z1046" s="2509"/>
      <c r="AA1046" s="6"/>
      <c r="AB1046" s="6"/>
      <c r="AC1046" s="6"/>
      <c r="AD1046" s="6"/>
      <c r="AE1046" s="6"/>
    </row>
    <row r="1047" spans="1:31" s="19" customFormat="1" ht="18.75">
      <c r="A1047" s="11"/>
      <c r="B1047" s="83" t="s">
        <v>622</v>
      </c>
      <c r="C1047" s="126" t="s">
        <v>705</v>
      </c>
      <c r="D1047" s="3"/>
      <c r="E1047" s="3"/>
      <c r="F1047" s="10"/>
      <c r="G1047" s="10"/>
      <c r="H1047" s="10"/>
      <c r="I1047" s="41" t="s">
        <v>573</v>
      </c>
      <c r="J1047" s="1141">
        <f>J1046</f>
        <v>219700</v>
      </c>
      <c r="K1047" s="1360">
        <f>K1046</f>
        <v>0.51</v>
      </c>
      <c r="L1047" s="1348">
        <f>SUM(J1047:K1047)</f>
        <v>219700.51</v>
      </c>
      <c r="M1047" s="1486">
        <f>M1046</f>
        <v>21.97</v>
      </c>
      <c r="N1047" s="1499">
        <f>N1046</f>
        <v>0.51</v>
      </c>
      <c r="O1047" s="1440">
        <f>SUM(M1047:N1047)</f>
        <v>22.48</v>
      </c>
      <c r="P1047" s="22"/>
      <c r="Q1047" s="6"/>
      <c r="R1047" s="2509"/>
      <c r="S1047" s="2509"/>
      <c r="T1047" s="2517"/>
      <c r="U1047" s="2517"/>
      <c r="V1047" s="2517"/>
      <c r="W1047" s="2523">
        <f t="shared" si="139"/>
        <v>219720</v>
      </c>
      <c r="X1047" s="2543">
        <f>X1046</f>
        <v>183100</v>
      </c>
      <c r="Y1047" s="2509"/>
      <c r="Z1047" s="2509"/>
      <c r="AA1047" s="6"/>
      <c r="AB1047" s="6"/>
      <c r="AC1047" s="6"/>
      <c r="AD1047" s="6"/>
      <c r="AE1047" s="6"/>
    </row>
    <row r="1048" spans="1:31" s="19" customFormat="1" ht="18.75">
      <c r="A1048" s="11">
        <v>18</v>
      </c>
      <c r="B1048" s="67"/>
      <c r="C1048" s="1546" t="s">
        <v>738</v>
      </c>
      <c r="D1048" s="3"/>
      <c r="E1048" s="3"/>
      <c r="F1048" s="10"/>
      <c r="G1048" s="10"/>
      <c r="H1048" s="10"/>
      <c r="I1048" s="41"/>
      <c r="J1048" s="1141"/>
      <c r="K1048" s="1360"/>
      <c r="L1048" s="1348"/>
      <c r="M1048" s="1462"/>
      <c r="N1048" s="1499"/>
      <c r="O1048" s="1440"/>
      <c r="P1048" s="22"/>
      <c r="Q1048" s="6"/>
      <c r="R1048" s="2509"/>
      <c r="S1048" s="2509"/>
      <c r="T1048" s="2517"/>
      <c r="U1048" s="2517"/>
      <c r="V1048" s="2517"/>
      <c r="W1048" s="2523">
        <f t="shared" si="139"/>
        <v>0</v>
      </c>
      <c r="X1048" s="2543"/>
      <c r="Y1048" s="2509"/>
      <c r="Z1048" s="2509"/>
      <c r="AA1048" s="6"/>
      <c r="AB1048" s="6"/>
      <c r="AC1048" s="6"/>
      <c r="AD1048" s="6"/>
      <c r="AE1048" s="6"/>
    </row>
    <row r="1049" spans="1:31" s="19" customFormat="1" ht="18.75">
      <c r="A1049" s="11"/>
      <c r="B1049" s="67"/>
      <c r="C1049" s="1546" t="s">
        <v>739</v>
      </c>
      <c r="D1049" s="3"/>
      <c r="E1049" s="3"/>
      <c r="F1049" s="10"/>
      <c r="G1049" s="10"/>
      <c r="H1049" s="10"/>
      <c r="I1049" s="41"/>
      <c r="J1049" s="1141"/>
      <c r="K1049" s="1360"/>
      <c r="L1049" s="1348"/>
      <c r="M1049" s="1462"/>
      <c r="N1049" s="1499"/>
      <c r="O1049" s="1440"/>
      <c r="P1049" s="22"/>
      <c r="Q1049" s="6"/>
      <c r="R1049" s="2509"/>
      <c r="S1049" s="2509"/>
      <c r="T1049" s="2517"/>
      <c r="U1049" s="2517"/>
      <c r="V1049" s="2517"/>
      <c r="W1049" s="2523">
        <f t="shared" si="139"/>
        <v>0</v>
      </c>
      <c r="X1049" s="2543"/>
      <c r="Y1049" s="2509"/>
      <c r="Z1049" s="2509"/>
      <c r="AA1049" s="6"/>
      <c r="AB1049" s="6"/>
      <c r="AC1049" s="6"/>
      <c r="AD1049" s="6"/>
      <c r="AE1049" s="6"/>
    </row>
    <row r="1050" spans="1:31" s="19" customFormat="1" ht="18.75">
      <c r="A1050" s="11"/>
      <c r="B1050" s="83" t="s">
        <v>622</v>
      </c>
      <c r="C1050" s="126" t="s">
        <v>704</v>
      </c>
      <c r="D1050" s="3"/>
      <c r="E1050" s="3"/>
      <c r="F1050" s="10"/>
      <c r="G1050" s="10"/>
      <c r="H1050" s="10"/>
      <c r="I1050" s="41" t="s">
        <v>573</v>
      </c>
      <c r="J1050" s="1141">
        <v>366100</v>
      </c>
      <c r="K1050" s="1360">
        <f>K489</f>
        <v>0.51</v>
      </c>
      <c r="L1050" s="1348">
        <f>SUM(J1050:K1050)</f>
        <v>366100.51</v>
      </c>
      <c r="M1050" s="1486">
        <f>J1050/10000</f>
        <v>36.61</v>
      </c>
      <c r="N1050" s="1499">
        <f>N489</f>
        <v>0.51</v>
      </c>
      <c r="O1050" s="1440">
        <f>SUM(M1050:N1050)</f>
        <v>37.12</v>
      </c>
      <c r="P1050" s="22"/>
      <c r="Q1050" s="6"/>
      <c r="R1050" s="2509"/>
      <c r="S1050" s="2509"/>
      <c r="T1050" s="2517"/>
      <c r="U1050" s="2517"/>
      <c r="V1050" s="2517"/>
      <c r="W1050" s="2523">
        <f t="shared" si="139"/>
        <v>366120</v>
      </c>
      <c r="X1050" s="2543">
        <v>305100</v>
      </c>
      <c r="Y1050" s="2509"/>
      <c r="Z1050" s="2509"/>
      <c r="AA1050" s="6"/>
      <c r="AB1050" s="6"/>
      <c r="AC1050" s="6"/>
      <c r="AD1050" s="6"/>
      <c r="AE1050" s="6"/>
    </row>
    <row r="1051" spans="1:31" s="19" customFormat="1" ht="18.75">
      <c r="A1051" s="11"/>
      <c r="B1051" s="83" t="s">
        <v>622</v>
      </c>
      <c r="C1051" s="126" t="s">
        <v>705</v>
      </c>
      <c r="D1051" s="3"/>
      <c r="E1051" s="3"/>
      <c r="F1051" s="10"/>
      <c r="G1051" s="10"/>
      <c r="H1051" s="10"/>
      <c r="I1051" s="41" t="s">
        <v>573</v>
      </c>
      <c r="J1051" s="1141">
        <f>J1050</f>
        <v>366100</v>
      </c>
      <c r="K1051" s="1360">
        <f>K1050</f>
        <v>0.51</v>
      </c>
      <c r="L1051" s="1348">
        <f>SUM(J1051:K1051)</f>
        <v>366100.51</v>
      </c>
      <c r="M1051" s="1486">
        <f>M1050</f>
        <v>36.61</v>
      </c>
      <c r="N1051" s="1499">
        <f>N1050</f>
        <v>0.51</v>
      </c>
      <c r="O1051" s="1440">
        <f>SUM(M1051:N1051)</f>
        <v>37.12</v>
      </c>
      <c r="P1051" s="22"/>
      <c r="Q1051" s="6"/>
      <c r="R1051" s="2509"/>
      <c r="S1051" s="2509"/>
      <c r="T1051" s="2517"/>
      <c r="U1051" s="2517"/>
      <c r="V1051" s="2517"/>
      <c r="W1051" s="2523">
        <f t="shared" si="139"/>
        <v>366120</v>
      </c>
      <c r="X1051" s="2543">
        <f>X1050</f>
        <v>305100</v>
      </c>
      <c r="Y1051" s="2509"/>
      <c r="Z1051" s="2509"/>
      <c r="AA1051" s="6"/>
      <c r="AB1051" s="6"/>
      <c r="AC1051" s="6"/>
      <c r="AD1051" s="6"/>
      <c r="AE1051" s="6"/>
    </row>
    <row r="1052" spans="1:31" s="19" customFormat="1" ht="18.75">
      <c r="A1052" s="11">
        <v>19</v>
      </c>
      <c r="B1052" s="67"/>
      <c r="C1052" s="1546" t="s">
        <v>740</v>
      </c>
      <c r="D1052" s="3"/>
      <c r="E1052" s="3"/>
      <c r="F1052" s="2"/>
      <c r="G1052" s="2"/>
      <c r="H1052" s="2"/>
      <c r="I1052" s="41"/>
      <c r="J1052" s="1141"/>
      <c r="K1052" s="1360"/>
      <c r="L1052" s="1348"/>
      <c r="M1052" s="1462"/>
      <c r="N1052" s="1499"/>
      <c r="O1052" s="1440"/>
      <c r="P1052" s="22"/>
      <c r="Q1052" s="6"/>
      <c r="R1052" s="2509"/>
      <c r="S1052" s="2509"/>
      <c r="T1052" s="2517"/>
      <c r="U1052" s="2517"/>
      <c r="V1052" s="2517"/>
      <c r="W1052" s="2523">
        <f t="shared" si="139"/>
        <v>0</v>
      </c>
      <c r="X1052" s="2543"/>
      <c r="Y1052" s="2509"/>
      <c r="Z1052" s="2509"/>
      <c r="AA1052" s="6"/>
      <c r="AB1052" s="6"/>
      <c r="AC1052" s="6"/>
      <c r="AD1052" s="6"/>
      <c r="AE1052" s="6"/>
    </row>
    <row r="1053" spans="1:31" s="19" customFormat="1" ht="18.75">
      <c r="A1053" s="11"/>
      <c r="B1053" s="67"/>
      <c r="C1053" s="1546" t="s">
        <v>741</v>
      </c>
      <c r="D1053" s="3"/>
      <c r="E1053" s="3"/>
      <c r="F1053" s="84"/>
      <c r="G1053" s="84"/>
      <c r="H1053" s="84"/>
      <c r="I1053" s="41"/>
      <c r="J1053" s="1141"/>
      <c r="K1053" s="1360"/>
      <c r="L1053" s="1348"/>
      <c r="M1053" s="1462"/>
      <c r="N1053" s="1499"/>
      <c r="O1053" s="1440"/>
      <c r="P1053" s="22"/>
      <c r="Q1053" s="6"/>
      <c r="R1053" s="2509"/>
      <c r="S1053" s="2509"/>
      <c r="T1053" s="2517"/>
      <c r="U1053" s="2517"/>
      <c r="V1053" s="2517"/>
      <c r="W1053" s="2523">
        <f t="shared" si="139"/>
        <v>0</v>
      </c>
      <c r="X1053" s="2543"/>
      <c r="Y1053" s="2509"/>
      <c r="Z1053" s="2509"/>
      <c r="AA1053" s="6"/>
      <c r="AB1053" s="6"/>
      <c r="AC1053" s="6"/>
      <c r="AD1053" s="6"/>
      <c r="AE1053" s="6"/>
    </row>
    <row r="1054" spans="1:31" s="19" customFormat="1" ht="18.75">
      <c r="A1054" s="11"/>
      <c r="B1054" s="67"/>
      <c r="C1054" s="1546" t="s">
        <v>742</v>
      </c>
      <c r="D1054" s="3"/>
      <c r="E1054" s="3"/>
      <c r="F1054" s="84"/>
      <c r="G1054" s="84"/>
      <c r="H1054" s="84"/>
      <c r="I1054" s="41"/>
      <c r="J1054" s="1141"/>
      <c r="K1054" s="1360"/>
      <c r="L1054" s="1348"/>
      <c r="M1054" s="1462"/>
      <c r="N1054" s="1499"/>
      <c r="O1054" s="1440"/>
      <c r="P1054" s="22"/>
      <c r="Q1054" s="6"/>
      <c r="R1054" s="2509"/>
      <c r="S1054" s="2509"/>
      <c r="T1054" s="2517"/>
      <c r="U1054" s="2517"/>
      <c r="V1054" s="2517"/>
      <c r="W1054" s="2523">
        <f t="shared" si="139"/>
        <v>0</v>
      </c>
      <c r="X1054" s="2543"/>
      <c r="Y1054" s="2509"/>
      <c r="Z1054" s="2509"/>
      <c r="AA1054" s="6"/>
      <c r="AB1054" s="6"/>
      <c r="AC1054" s="6"/>
      <c r="AD1054" s="6"/>
      <c r="AE1054" s="6"/>
    </row>
    <row r="1055" spans="1:31" s="19" customFormat="1" ht="18.75">
      <c r="A1055" s="11"/>
      <c r="B1055" s="83" t="s">
        <v>622</v>
      </c>
      <c r="C1055" s="126" t="s">
        <v>704</v>
      </c>
      <c r="D1055" s="3"/>
      <c r="E1055" s="3"/>
      <c r="F1055" s="84"/>
      <c r="G1055" s="84"/>
      <c r="H1055" s="84"/>
      <c r="I1055" s="41" t="s">
        <v>573</v>
      </c>
      <c r="J1055" s="1141">
        <v>366100</v>
      </c>
      <c r="K1055" s="1360">
        <f>K494</f>
        <v>0.44000000000000006</v>
      </c>
      <c r="L1055" s="1348">
        <f>SUM(J1055:K1055)</f>
        <v>366100.44</v>
      </c>
      <c r="M1055" s="1486">
        <f>J1055/10000</f>
        <v>36.61</v>
      </c>
      <c r="N1055" s="1499">
        <f>N494</f>
        <v>0.44000000000000006</v>
      </c>
      <c r="O1055" s="1440">
        <f>SUM(M1055:N1055)</f>
        <v>37.05</v>
      </c>
      <c r="P1055" s="22"/>
      <c r="Q1055" s="6"/>
      <c r="R1055" s="2509"/>
      <c r="S1055" s="2509"/>
      <c r="T1055" s="2517"/>
      <c r="U1055" s="2517"/>
      <c r="V1055" s="2517"/>
      <c r="W1055" s="2523">
        <f t="shared" si="139"/>
        <v>366120</v>
      </c>
      <c r="X1055" s="2543">
        <v>305100</v>
      </c>
      <c r="Y1055" s="2509"/>
      <c r="Z1055" s="2509"/>
      <c r="AA1055" s="6"/>
      <c r="AB1055" s="6"/>
      <c r="AC1055" s="6"/>
      <c r="AD1055" s="6"/>
      <c r="AE1055" s="6"/>
    </row>
    <row r="1056" spans="1:31" s="19" customFormat="1" ht="18.75">
      <c r="A1056" s="11"/>
      <c r="B1056" s="83" t="s">
        <v>622</v>
      </c>
      <c r="C1056" s="126" t="s">
        <v>705</v>
      </c>
      <c r="D1056" s="3"/>
      <c r="E1056" s="3"/>
      <c r="F1056" s="84"/>
      <c r="G1056" s="84"/>
      <c r="H1056" s="84"/>
      <c r="I1056" s="41" t="s">
        <v>573</v>
      </c>
      <c r="J1056" s="1141">
        <f>J1055</f>
        <v>366100</v>
      </c>
      <c r="K1056" s="1360">
        <f>K1055</f>
        <v>0.44000000000000006</v>
      </c>
      <c r="L1056" s="1348">
        <f>SUM(J1056:K1056)</f>
        <v>366100.44</v>
      </c>
      <c r="M1056" s="1486">
        <f>M1055</f>
        <v>36.61</v>
      </c>
      <c r="N1056" s="1499">
        <f>N1055</f>
        <v>0.44000000000000006</v>
      </c>
      <c r="O1056" s="1440">
        <f>SUM(M1056:N1056)</f>
        <v>37.05</v>
      </c>
      <c r="P1056" s="22"/>
      <c r="Q1056" s="6"/>
      <c r="R1056" s="2509"/>
      <c r="S1056" s="2509"/>
      <c r="T1056" s="2517"/>
      <c r="U1056" s="2517"/>
      <c r="V1056" s="2517"/>
      <c r="W1056" s="2523">
        <f t="shared" si="139"/>
        <v>366120</v>
      </c>
      <c r="X1056" s="2543">
        <f>X1055</f>
        <v>305100</v>
      </c>
      <c r="Y1056" s="2509"/>
      <c r="Z1056" s="2509"/>
      <c r="AA1056" s="6"/>
      <c r="AB1056" s="6"/>
      <c r="AC1056" s="6"/>
      <c r="AD1056" s="6"/>
      <c r="AE1056" s="6"/>
    </row>
    <row r="1057" spans="1:31" s="19" customFormat="1" ht="18.75">
      <c r="A1057" s="11"/>
      <c r="B1057" s="67"/>
      <c r="C1057" s="1545" t="s">
        <v>743</v>
      </c>
      <c r="D1057" s="3"/>
      <c r="E1057" s="3"/>
      <c r="F1057" s="2"/>
      <c r="G1057" s="2"/>
      <c r="H1057" s="2"/>
      <c r="I1057" s="41"/>
      <c r="J1057" s="1141"/>
      <c r="K1057" s="1360"/>
      <c r="L1057" s="1348"/>
      <c r="M1057" s="1462"/>
      <c r="N1057" s="1499"/>
      <c r="O1057" s="1440"/>
      <c r="P1057" s="22"/>
      <c r="Q1057" s="6"/>
      <c r="R1057" s="2509"/>
      <c r="S1057" s="2509"/>
      <c r="T1057" s="2517"/>
      <c r="U1057" s="2517"/>
      <c r="V1057" s="2517"/>
      <c r="W1057" s="2523">
        <f t="shared" si="139"/>
        <v>0</v>
      </c>
      <c r="X1057" s="2543"/>
      <c r="Y1057" s="2509"/>
      <c r="Z1057" s="2509"/>
      <c r="AA1057" s="6"/>
      <c r="AB1057" s="6"/>
      <c r="AC1057" s="6"/>
      <c r="AD1057" s="6"/>
      <c r="AE1057" s="6"/>
    </row>
    <row r="1058" spans="1:31" s="19" customFormat="1" ht="18.75">
      <c r="A1058" s="11">
        <v>20</v>
      </c>
      <c r="B1058" s="67"/>
      <c r="C1058" s="1546" t="s">
        <v>744</v>
      </c>
      <c r="D1058" s="3"/>
      <c r="E1058" s="3"/>
      <c r="F1058" s="10"/>
      <c r="G1058" s="10"/>
      <c r="H1058" s="10"/>
      <c r="I1058" s="41"/>
      <c r="J1058" s="1141"/>
      <c r="K1058" s="1360"/>
      <c r="L1058" s="1348"/>
      <c r="M1058" s="1462"/>
      <c r="N1058" s="1499"/>
      <c r="O1058" s="1440"/>
      <c r="P1058" s="22"/>
      <c r="Q1058" s="6"/>
      <c r="R1058" s="2509"/>
      <c r="S1058" s="2509"/>
      <c r="T1058" s="2517"/>
      <c r="U1058" s="2517"/>
      <c r="V1058" s="2517"/>
      <c r="W1058" s="2523">
        <f t="shared" si="139"/>
        <v>0</v>
      </c>
      <c r="X1058" s="2543"/>
      <c r="Y1058" s="2509"/>
      <c r="Z1058" s="2509"/>
      <c r="AA1058" s="6"/>
      <c r="AB1058" s="6"/>
      <c r="AC1058" s="6"/>
      <c r="AD1058" s="6"/>
      <c r="AE1058" s="6"/>
    </row>
    <row r="1059" spans="1:31" s="19" customFormat="1" ht="18.75">
      <c r="A1059" s="11"/>
      <c r="B1059" s="83" t="s">
        <v>622</v>
      </c>
      <c r="C1059" s="126" t="s">
        <v>704</v>
      </c>
      <c r="D1059" s="3"/>
      <c r="E1059" s="3"/>
      <c r="F1059" s="10"/>
      <c r="G1059" s="10"/>
      <c r="H1059" s="10"/>
      <c r="I1059" s="41" t="s">
        <v>573</v>
      </c>
      <c r="J1059" s="1141">
        <v>146400</v>
      </c>
      <c r="K1059" s="1360">
        <f>K498</f>
        <v>0.30000000000000004</v>
      </c>
      <c r="L1059" s="1348">
        <f>SUM(J1059:K1059)</f>
        <v>146400.3</v>
      </c>
      <c r="M1059" s="1486">
        <f>J1059/10000</f>
        <v>14.64</v>
      </c>
      <c r="N1059" s="1499">
        <f>N498</f>
        <v>0.30000000000000004</v>
      </c>
      <c r="O1059" s="1440">
        <f>SUM(M1059:N1059)</f>
        <v>14.940000000000001</v>
      </c>
      <c r="P1059" s="22"/>
      <c r="Q1059" s="6"/>
      <c r="R1059" s="2509"/>
      <c r="S1059" s="2509"/>
      <c r="T1059" s="2517"/>
      <c r="U1059" s="2517"/>
      <c r="V1059" s="2517"/>
      <c r="W1059" s="2523">
        <f t="shared" si="139"/>
        <v>146400</v>
      </c>
      <c r="X1059" s="2543">
        <v>122000</v>
      </c>
      <c r="Y1059" s="2509"/>
      <c r="Z1059" s="2509"/>
      <c r="AA1059" s="6"/>
      <c r="AB1059" s="6"/>
      <c r="AC1059" s="6"/>
      <c r="AD1059" s="6"/>
      <c r="AE1059" s="6"/>
    </row>
    <row r="1060" spans="1:31" s="19" customFormat="1" ht="18.75">
      <c r="A1060" s="11"/>
      <c r="B1060" s="83" t="s">
        <v>622</v>
      </c>
      <c r="C1060" s="126" t="s">
        <v>705</v>
      </c>
      <c r="D1060" s="3"/>
      <c r="E1060" s="3"/>
      <c r="F1060" s="10"/>
      <c r="G1060" s="10"/>
      <c r="H1060" s="10"/>
      <c r="I1060" s="41" t="s">
        <v>573</v>
      </c>
      <c r="J1060" s="1141">
        <f>J1059</f>
        <v>146400</v>
      </c>
      <c r="K1060" s="1360">
        <f>K1059</f>
        <v>0.30000000000000004</v>
      </c>
      <c r="L1060" s="1348">
        <f>SUM(J1060:K1060)</f>
        <v>146400.3</v>
      </c>
      <c r="M1060" s="1486">
        <f>M1059</f>
        <v>14.64</v>
      </c>
      <c r="N1060" s="1499">
        <f>N1059</f>
        <v>0.30000000000000004</v>
      </c>
      <c r="O1060" s="1440">
        <f>SUM(M1060:N1060)</f>
        <v>14.940000000000001</v>
      </c>
      <c r="P1060" s="22"/>
      <c r="Q1060" s="6"/>
      <c r="R1060" s="2509"/>
      <c r="S1060" s="2509"/>
      <c r="T1060" s="2517"/>
      <c r="U1060" s="2517"/>
      <c r="V1060" s="2517"/>
      <c r="W1060" s="2523">
        <f t="shared" si="139"/>
        <v>146400</v>
      </c>
      <c r="X1060" s="2543">
        <f>X1059</f>
        <v>122000</v>
      </c>
      <c r="Y1060" s="2509"/>
      <c r="Z1060" s="2509"/>
      <c r="AA1060" s="6"/>
      <c r="AB1060" s="6"/>
      <c r="AC1060" s="6"/>
      <c r="AD1060" s="6"/>
      <c r="AE1060" s="6"/>
    </row>
    <row r="1061" spans="1:31" s="19" customFormat="1" ht="18.75">
      <c r="A1061" s="11">
        <v>21</v>
      </c>
      <c r="B1061" s="67"/>
      <c r="C1061" s="1546" t="s">
        <v>745</v>
      </c>
      <c r="D1061" s="3"/>
      <c r="E1061" s="3"/>
      <c r="F1061" s="10"/>
      <c r="G1061" s="10"/>
      <c r="H1061" s="10"/>
      <c r="I1061" s="41"/>
      <c r="J1061" s="1141"/>
      <c r="K1061" s="1360"/>
      <c r="L1061" s="1348"/>
      <c r="M1061" s="1462"/>
      <c r="N1061" s="1499"/>
      <c r="O1061" s="1440"/>
      <c r="P1061" s="22"/>
      <c r="Q1061" s="6"/>
      <c r="R1061" s="2509"/>
      <c r="S1061" s="2509"/>
      <c r="T1061" s="2517"/>
      <c r="U1061" s="2517"/>
      <c r="V1061" s="2517"/>
      <c r="W1061" s="2523">
        <f t="shared" si="139"/>
        <v>0</v>
      </c>
      <c r="X1061" s="2543"/>
      <c r="Y1061" s="2509"/>
      <c r="Z1061" s="2509"/>
      <c r="AA1061" s="6"/>
      <c r="AB1061" s="6"/>
      <c r="AC1061" s="6"/>
      <c r="AD1061" s="6"/>
      <c r="AE1061" s="6"/>
    </row>
    <row r="1062" spans="1:31" s="19" customFormat="1" ht="18.75">
      <c r="A1062" s="11"/>
      <c r="B1062" s="83" t="s">
        <v>622</v>
      </c>
      <c r="C1062" s="126" t="s">
        <v>704</v>
      </c>
      <c r="D1062" s="3"/>
      <c r="E1062" s="3"/>
      <c r="F1062" s="10"/>
      <c r="G1062" s="10"/>
      <c r="H1062" s="10"/>
      <c r="I1062" s="41" t="s">
        <v>573</v>
      </c>
      <c r="J1062" s="1141">
        <v>183000</v>
      </c>
      <c r="K1062" s="1360">
        <f>K501</f>
        <v>0.44000000000000006</v>
      </c>
      <c r="L1062" s="1348">
        <f>SUM(J1062:K1062)</f>
        <v>183000.44</v>
      </c>
      <c r="M1062" s="1486">
        <f>J1062/10000</f>
        <v>18.3</v>
      </c>
      <c r="N1062" s="1499">
        <f>N501</f>
        <v>0.44000000000000006</v>
      </c>
      <c r="O1062" s="1440">
        <f>SUM(M1062:N1062)</f>
        <v>18.740000000000002</v>
      </c>
      <c r="P1062" s="22"/>
      <c r="Q1062" s="6"/>
      <c r="R1062" s="2509"/>
      <c r="S1062" s="2509"/>
      <c r="T1062" s="2517"/>
      <c r="U1062" s="2517"/>
      <c r="V1062" s="2517"/>
      <c r="W1062" s="2523">
        <f t="shared" si="139"/>
        <v>183000</v>
      </c>
      <c r="X1062" s="2543">
        <v>152500</v>
      </c>
      <c r="Y1062" s="2509"/>
      <c r="Z1062" s="2509"/>
      <c r="AA1062" s="6"/>
      <c r="AB1062" s="6"/>
      <c r="AC1062" s="6"/>
      <c r="AD1062" s="6"/>
      <c r="AE1062" s="6"/>
    </row>
    <row r="1063" spans="1:31" s="19" customFormat="1" ht="18.75">
      <c r="A1063" s="11"/>
      <c r="B1063" s="83" t="s">
        <v>622</v>
      </c>
      <c r="C1063" s="126" t="s">
        <v>705</v>
      </c>
      <c r="D1063" s="3"/>
      <c r="E1063" s="3"/>
      <c r="F1063" s="10"/>
      <c r="G1063" s="10"/>
      <c r="H1063" s="10"/>
      <c r="I1063" s="41" t="s">
        <v>573</v>
      </c>
      <c r="J1063" s="1141">
        <f>J1062</f>
        <v>183000</v>
      </c>
      <c r="K1063" s="1360">
        <f>K1062</f>
        <v>0.44000000000000006</v>
      </c>
      <c r="L1063" s="1348">
        <f>SUM(J1063:K1063)</f>
        <v>183000.44</v>
      </c>
      <c r="M1063" s="1486">
        <f>M1062</f>
        <v>18.3</v>
      </c>
      <c r="N1063" s="1499">
        <f>N1062</f>
        <v>0.44000000000000006</v>
      </c>
      <c r="O1063" s="1440">
        <f>SUM(M1063:N1063)</f>
        <v>18.740000000000002</v>
      </c>
      <c r="P1063" s="22"/>
      <c r="Q1063" s="6"/>
      <c r="R1063" s="2509"/>
      <c r="S1063" s="2509"/>
      <c r="T1063" s="2517"/>
      <c r="U1063" s="2517"/>
      <c r="V1063" s="2517"/>
      <c r="W1063" s="2523">
        <f t="shared" si="139"/>
        <v>183000</v>
      </c>
      <c r="X1063" s="2543">
        <f>X1062</f>
        <v>152500</v>
      </c>
      <c r="Y1063" s="2509"/>
      <c r="Z1063" s="2509"/>
      <c r="AA1063" s="6"/>
      <c r="AB1063" s="6"/>
      <c r="AC1063" s="6"/>
      <c r="AD1063" s="6"/>
      <c r="AE1063" s="6"/>
    </row>
    <row r="1064" spans="1:31" s="19" customFormat="1" ht="18.75">
      <c r="A1064" s="11">
        <v>22</v>
      </c>
      <c r="B1064" s="67"/>
      <c r="C1064" s="1546" t="s">
        <v>746</v>
      </c>
      <c r="D1064" s="3"/>
      <c r="E1064" s="3"/>
      <c r="F1064" s="10"/>
      <c r="G1064" s="10"/>
      <c r="H1064" s="10"/>
      <c r="I1064" s="41"/>
      <c r="J1064" s="1141"/>
      <c r="K1064" s="1360"/>
      <c r="L1064" s="1348"/>
      <c r="M1064" s="1462"/>
      <c r="N1064" s="1499"/>
      <c r="O1064" s="1440"/>
      <c r="P1064" s="22"/>
      <c r="Q1064" s="6"/>
      <c r="R1064" s="2509"/>
      <c r="S1064" s="2509"/>
      <c r="T1064" s="2517"/>
      <c r="U1064" s="2517"/>
      <c r="V1064" s="2517"/>
      <c r="W1064" s="2523">
        <f t="shared" si="139"/>
        <v>0</v>
      </c>
      <c r="X1064" s="2543"/>
      <c r="Y1064" s="2509"/>
      <c r="Z1064" s="2509"/>
      <c r="AA1064" s="6"/>
      <c r="AB1064" s="6"/>
      <c r="AC1064" s="6"/>
      <c r="AD1064" s="6"/>
      <c r="AE1064" s="6"/>
    </row>
    <row r="1065" spans="1:31" s="19" customFormat="1" ht="18.75">
      <c r="A1065" s="11"/>
      <c r="B1065" s="83" t="s">
        <v>622</v>
      </c>
      <c r="C1065" s="126" t="s">
        <v>704</v>
      </c>
      <c r="D1065" s="3"/>
      <c r="E1065" s="3"/>
      <c r="F1065" s="10"/>
      <c r="G1065" s="10"/>
      <c r="H1065" s="10"/>
      <c r="I1065" s="41" t="s">
        <v>573</v>
      </c>
      <c r="J1065" s="1141">
        <v>73200</v>
      </c>
      <c r="K1065" s="1360">
        <f>K504</f>
        <v>0.30000000000000004</v>
      </c>
      <c r="L1065" s="1348">
        <f>SUM(J1065:K1065)</f>
        <v>73200.3</v>
      </c>
      <c r="M1065" s="1486">
        <f>J1065/10000</f>
        <v>7.32</v>
      </c>
      <c r="N1065" s="1499">
        <f>N504</f>
        <v>0.30000000000000004</v>
      </c>
      <c r="O1065" s="1440">
        <f>SUM(M1065:N1065)</f>
        <v>7.62</v>
      </c>
      <c r="P1065" s="22"/>
      <c r="Q1065" s="6"/>
      <c r="R1065" s="2509"/>
      <c r="S1065" s="2509"/>
      <c r="T1065" s="2517"/>
      <c r="U1065" s="2517"/>
      <c r="V1065" s="2517"/>
      <c r="W1065" s="2523">
        <f t="shared" si="139"/>
        <v>73200</v>
      </c>
      <c r="X1065" s="2543">
        <v>61000</v>
      </c>
      <c r="Y1065" s="2509"/>
      <c r="Z1065" s="2509"/>
      <c r="AA1065" s="6"/>
      <c r="AB1065" s="6"/>
      <c r="AC1065" s="6"/>
      <c r="AD1065" s="6"/>
      <c r="AE1065" s="6"/>
    </row>
    <row r="1066" spans="1:31" s="19" customFormat="1" ht="18.75">
      <c r="A1066" s="11"/>
      <c r="B1066" s="83" t="s">
        <v>622</v>
      </c>
      <c r="C1066" s="126" t="s">
        <v>705</v>
      </c>
      <c r="D1066" s="3"/>
      <c r="E1066" s="3"/>
      <c r="F1066" s="10"/>
      <c r="G1066" s="10"/>
      <c r="H1066" s="10"/>
      <c r="I1066" s="41" t="s">
        <v>573</v>
      </c>
      <c r="J1066" s="1141">
        <f>J1065</f>
        <v>73200</v>
      </c>
      <c r="K1066" s="1360">
        <f>K1065</f>
        <v>0.30000000000000004</v>
      </c>
      <c r="L1066" s="1348">
        <f>SUM(J1066:K1066)</f>
        <v>73200.3</v>
      </c>
      <c r="M1066" s="1486">
        <f>M1065</f>
        <v>7.32</v>
      </c>
      <c r="N1066" s="1499">
        <f>N1065</f>
        <v>0.30000000000000004</v>
      </c>
      <c r="O1066" s="1440">
        <f>SUM(M1066:N1066)</f>
        <v>7.62</v>
      </c>
      <c r="P1066" s="22"/>
      <c r="Q1066" s="6"/>
      <c r="R1066" s="2509"/>
      <c r="S1066" s="2509"/>
      <c r="T1066" s="2517"/>
      <c r="U1066" s="2517"/>
      <c r="V1066" s="2517"/>
      <c r="W1066" s="2523">
        <f t="shared" si="139"/>
        <v>73200</v>
      </c>
      <c r="X1066" s="2543">
        <f>X1065</f>
        <v>61000</v>
      </c>
      <c r="Y1066" s="2509"/>
      <c r="Z1066" s="2509"/>
      <c r="AA1066" s="6"/>
      <c r="AB1066" s="6"/>
      <c r="AC1066" s="6"/>
      <c r="AD1066" s="6"/>
      <c r="AE1066" s="6"/>
    </row>
    <row r="1067" spans="1:31" s="19" customFormat="1" ht="18.75">
      <c r="A1067" s="11">
        <v>23</v>
      </c>
      <c r="B1067" s="67"/>
      <c r="C1067" s="1546" t="s">
        <v>747</v>
      </c>
      <c r="D1067" s="3"/>
      <c r="E1067" s="3"/>
      <c r="F1067" s="10"/>
      <c r="G1067" s="10"/>
      <c r="H1067" s="10"/>
      <c r="I1067" s="41"/>
      <c r="J1067" s="1141"/>
      <c r="K1067" s="1360"/>
      <c r="L1067" s="1348"/>
      <c r="M1067" s="1462"/>
      <c r="N1067" s="1499"/>
      <c r="O1067" s="1440"/>
      <c r="P1067" s="22"/>
      <c r="Q1067" s="6"/>
      <c r="R1067" s="2509"/>
      <c r="S1067" s="2509"/>
      <c r="T1067" s="2517"/>
      <c r="U1067" s="2517"/>
      <c r="V1067" s="2517"/>
      <c r="W1067" s="2523">
        <f t="shared" si="139"/>
        <v>0</v>
      </c>
      <c r="X1067" s="2543"/>
      <c r="Y1067" s="2509"/>
      <c r="Z1067" s="2509"/>
      <c r="AA1067" s="6"/>
      <c r="AB1067" s="6"/>
      <c r="AC1067" s="6"/>
      <c r="AD1067" s="6"/>
      <c r="AE1067" s="6"/>
    </row>
    <row r="1068" spans="1:31" s="19" customFormat="1" ht="18.75">
      <c r="A1068" s="11"/>
      <c r="B1068" s="83" t="s">
        <v>622</v>
      </c>
      <c r="C1068" s="126" t="s">
        <v>704</v>
      </c>
      <c r="D1068" s="3"/>
      <c r="E1068" s="3"/>
      <c r="F1068" s="10"/>
      <c r="G1068" s="10"/>
      <c r="H1068" s="10"/>
      <c r="I1068" s="41" t="s">
        <v>573</v>
      </c>
      <c r="J1068" s="1141">
        <v>73200</v>
      </c>
      <c r="K1068" s="1360">
        <f>K507</f>
        <v>0.30000000000000004</v>
      </c>
      <c r="L1068" s="1348">
        <f>SUM(J1068:K1068)</f>
        <v>73200.3</v>
      </c>
      <c r="M1068" s="1486">
        <f>J1068/10000</f>
        <v>7.32</v>
      </c>
      <c r="N1068" s="1499">
        <f>N507</f>
        <v>0.30000000000000004</v>
      </c>
      <c r="O1068" s="1440">
        <f>SUM(M1068:N1068)</f>
        <v>7.62</v>
      </c>
      <c r="P1068" s="22"/>
      <c r="Q1068" s="6"/>
      <c r="R1068" s="2509"/>
      <c r="S1068" s="2509"/>
      <c r="T1068" s="2517"/>
      <c r="U1068" s="2517"/>
      <c r="V1068" s="2517"/>
      <c r="W1068" s="2523">
        <f t="shared" si="139"/>
        <v>73200</v>
      </c>
      <c r="X1068" s="2543">
        <v>61000</v>
      </c>
      <c r="Y1068" s="2509"/>
      <c r="Z1068" s="2509"/>
      <c r="AA1068" s="6"/>
      <c r="AB1068" s="6"/>
      <c r="AC1068" s="6"/>
      <c r="AD1068" s="6"/>
      <c r="AE1068" s="6"/>
    </row>
    <row r="1069" spans="1:31" s="19" customFormat="1" ht="18.75">
      <c r="A1069" s="11"/>
      <c r="B1069" s="83" t="s">
        <v>622</v>
      </c>
      <c r="C1069" s="126" t="s">
        <v>705</v>
      </c>
      <c r="D1069" s="3"/>
      <c r="E1069" s="3"/>
      <c r="F1069" s="10"/>
      <c r="G1069" s="10"/>
      <c r="H1069" s="10"/>
      <c r="I1069" s="41" t="s">
        <v>573</v>
      </c>
      <c r="J1069" s="1141">
        <f>J1068</f>
        <v>73200</v>
      </c>
      <c r="K1069" s="1360">
        <f>K1068</f>
        <v>0.30000000000000004</v>
      </c>
      <c r="L1069" s="1348">
        <f>SUM(J1069:K1069)</f>
        <v>73200.3</v>
      </c>
      <c r="M1069" s="1486">
        <f>M1068</f>
        <v>7.32</v>
      </c>
      <c r="N1069" s="1499">
        <f>N1068</f>
        <v>0.30000000000000004</v>
      </c>
      <c r="O1069" s="1440">
        <f>SUM(M1069:N1069)</f>
        <v>7.62</v>
      </c>
      <c r="P1069" s="22"/>
      <c r="Q1069" s="6"/>
      <c r="R1069" s="2509"/>
      <c r="S1069" s="2509"/>
      <c r="T1069" s="2517"/>
      <c r="U1069" s="2517"/>
      <c r="V1069" s="2517"/>
      <c r="W1069" s="2523">
        <f t="shared" si="139"/>
        <v>73200</v>
      </c>
      <c r="X1069" s="2543">
        <f>X1068</f>
        <v>61000</v>
      </c>
      <c r="Y1069" s="2509"/>
      <c r="Z1069" s="2509"/>
      <c r="AA1069" s="6"/>
      <c r="AB1069" s="6"/>
      <c r="AC1069" s="6"/>
      <c r="AD1069" s="6"/>
      <c r="AE1069" s="6"/>
    </row>
    <row r="1070" spans="1:31" s="19" customFormat="1" ht="18.75">
      <c r="A1070" s="11">
        <v>24</v>
      </c>
      <c r="B1070" s="67"/>
      <c r="C1070" s="1546" t="s">
        <v>748</v>
      </c>
      <c r="D1070" s="3"/>
      <c r="E1070" s="3"/>
      <c r="F1070" s="10"/>
      <c r="G1070" s="10"/>
      <c r="H1070" s="10"/>
      <c r="I1070" s="41"/>
      <c r="J1070" s="1141"/>
      <c r="K1070" s="1360"/>
      <c r="L1070" s="1348"/>
      <c r="M1070" s="1462"/>
      <c r="N1070" s="1499"/>
      <c r="O1070" s="1440"/>
      <c r="P1070" s="22"/>
      <c r="Q1070" s="6"/>
      <c r="R1070" s="2509"/>
      <c r="S1070" s="2509"/>
      <c r="T1070" s="2517"/>
      <c r="U1070" s="2517"/>
      <c r="V1070" s="2517"/>
      <c r="W1070" s="2523">
        <f t="shared" si="139"/>
        <v>0</v>
      </c>
      <c r="X1070" s="2543"/>
      <c r="Y1070" s="2509"/>
      <c r="Z1070" s="2509"/>
      <c r="AA1070" s="6"/>
      <c r="AB1070" s="6"/>
      <c r="AC1070" s="6"/>
      <c r="AD1070" s="6"/>
      <c r="AE1070" s="6"/>
    </row>
    <row r="1071" spans="1:31" s="19" customFormat="1" ht="18.75">
      <c r="A1071" s="11"/>
      <c r="B1071" s="83" t="s">
        <v>622</v>
      </c>
      <c r="C1071" s="126" t="s">
        <v>704</v>
      </c>
      <c r="D1071" s="3"/>
      <c r="E1071" s="3"/>
      <c r="F1071" s="10"/>
      <c r="G1071" s="10"/>
      <c r="H1071" s="10"/>
      <c r="I1071" s="41" t="s">
        <v>573</v>
      </c>
      <c r="J1071" s="1141">
        <v>146400</v>
      </c>
      <c r="K1071" s="1360">
        <f>K510</f>
        <v>0.30000000000000004</v>
      </c>
      <c r="L1071" s="1348">
        <f>SUM(J1071:K1071)</f>
        <v>146400.3</v>
      </c>
      <c r="M1071" s="1486">
        <f>J1071/10000</f>
        <v>14.64</v>
      </c>
      <c r="N1071" s="1499">
        <f>N510</f>
        <v>0.30000000000000004</v>
      </c>
      <c r="O1071" s="1440">
        <f>SUM(M1071:N1071)</f>
        <v>14.940000000000001</v>
      </c>
      <c r="P1071" s="22"/>
      <c r="Q1071" s="6"/>
      <c r="R1071" s="2509"/>
      <c r="S1071" s="2509"/>
      <c r="T1071" s="2517"/>
      <c r="U1071" s="2517"/>
      <c r="V1071" s="2517"/>
      <c r="W1071" s="2523">
        <f t="shared" si="139"/>
        <v>146400</v>
      </c>
      <c r="X1071" s="2543">
        <v>122000</v>
      </c>
      <c r="Y1071" s="2509"/>
      <c r="Z1071" s="2509"/>
      <c r="AA1071" s="6"/>
      <c r="AB1071" s="6"/>
      <c r="AC1071" s="6"/>
      <c r="AD1071" s="6"/>
      <c r="AE1071" s="6"/>
    </row>
    <row r="1072" spans="1:31" s="19" customFormat="1" ht="18.75">
      <c r="A1072" s="11"/>
      <c r="B1072" s="83" t="s">
        <v>622</v>
      </c>
      <c r="C1072" s="126" t="s">
        <v>705</v>
      </c>
      <c r="D1072" s="3"/>
      <c r="E1072" s="3"/>
      <c r="F1072" s="10"/>
      <c r="G1072" s="10"/>
      <c r="H1072" s="10"/>
      <c r="I1072" s="41" t="s">
        <v>573</v>
      </c>
      <c r="J1072" s="1141">
        <f>J1071</f>
        <v>146400</v>
      </c>
      <c r="K1072" s="1360">
        <f>K1071</f>
        <v>0.30000000000000004</v>
      </c>
      <c r="L1072" s="1348">
        <f>SUM(J1072:K1072)</f>
        <v>146400.3</v>
      </c>
      <c r="M1072" s="1486">
        <f>M1071</f>
        <v>14.64</v>
      </c>
      <c r="N1072" s="1499">
        <f>N1071</f>
        <v>0.30000000000000004</v>
      </c>
      <c r="O1072" s="1440">
        <f>SUM(M1072:N1072)</f>
        <v>14.940000000000001</v>
      </c>
      <c r="P1072" s="22"/>
      <c r="Q1072" s="6"/>
      <c r="R1072" s="2509"/>
      <c r="S1072" s="2509"/>
      <c r="T1072" s="2517"/>
      <c r="U1072" s="2517"/>
      <c r="V1072" s="2517"/>
      <c r="W1072" s="2523">
        <f t="shared" si="139"/>
        <v>146400</v>
      </c>
      <c r="X1072" s="2543">
        <f>X1071</f>
        <v>122000</v>
      </c>
      <c r="Y1072" s="2509"/>
      <c r="Z1072" s="2509"/>
      <c r="AA1072" s="6"/>
      <c r="AB1072" s="6"/>
      <c r="AC1072" s="6"/>
      <c r="AD1072" s="6"/>
      <c r="AE1072" s="6"/>
    </row>
    <row r="1073" spans="1:31" s="19" customFormat="1" ht="18.75">
      <c r="A1073" s="11">
        <v>25</v>
      </c>
      <c r="B1073" s="67"/>
      <c r="C1073" s="1546" t="s">
        <v>749</v>
      </c>
      <c r="D1073" s="3"/>
      <c r="E1073" s="3"/>
      <c r="F1073" s="10"/>
      <c r="G1073" s="10"/>
      <c r="H1073" s="10"/>
      <c r="I1073" s="41"/>
      <c r="J1073" s="1141"/>
      <c r="K1073" s="1360"/>
      <c r="L1073" s="1348"/>
      <c r="M1073" s="1462"/>
      <c r="N1073" s="1499"/>
      <c r="O1073" s="1440"/>
      <c r="P1073" s="22"/>
      <c r="Q1073" s="6"/>
      <c r="R1073" s="2509"/>
      <c r="S1073" s="2509"/>
      <c r="T1073" s="2517"/>
      <c r="U1073" s="2517"/>
      <c r="V1073" s="2517"/>
      <c r="W1073" s="2523">
        <f t="shared" si="139"/>
        <v>0</v>
      </c>
      <c r="X1073" s="2543"/>
      <c r="Y1073" s="2509"/>
      <c r="Z1073" s="2509"/>
      <c r="AA1073" s="6"/>
      <c r="AB1073" s="6"/>
      <c r="AC1073" s="6"/>
      <c r="AD1073" s="6"/>
      <c r="AE1073" s="6"/>
    </row>
    <row r="1074" spans="1:31" s="19" customFormat="1" ht="18.75">
      <c r="A1074" s="11"/>
      <c r="B1074" s="83" t="s">
        <v>622</v>
      </c>
      <c r="C1074" s="126" t="s">
        <v>704</v>
      </c>
      <c r="D1074" s="3"/>
      <c r="E1074" s="3"/>
      <c r="F1074" s="10"/>
      <c r="G1074" s="10"/>
      <c r="H1074" s="10"/>
      <c r="I1074" s="41" t="s">
        <v>573</v>
      </c>
      <c r="J1074" s="1141">
        <v>73200</v>
      </c>
      <c r="K1074" s="1360">
        <f>K513</f>
        <v>0.30000000000000004</v>
      </c>
      <c r="L1074" s="1348">
        <f>SUM(J1074:K1074)</f>
        <v>73200.3</v>
      </c>
      <c r="M1074" s="1486">
        <f>J1074/10000</f>
        <v>7.32</v>
      </c>
      <c r="N1074" s="1499">
        <f>N513</f>
        <v>0.30000000000000004</v>
      </c>
      <c r="O1074" s="1440">
        <f>SUM(M1074:N1074)</f>
        <v>7.62</v>
      </c>
      <c r="P1074" s="22"/>
      <c r="Q1074" s="6"/>
      <c r="R1074" s="2509"/>
      <c r="S1074" s="2509"/>
      <c r="T1074" s="2517"/>
      <c r="U1074" s="2517"/>
      <c r="V1074" s="2517"/>
      <c r="W1074" s="2523">
        <f t="shared" si="139"/>
        <v>73200</v>
      </c>
      <c r="X1074" s="2543">
        <v>61000</v>
      </c>
      <c r="Y1074" s="2509"/>
      <c r="Z1074" s="2509"/>
      <c r="AA1074" s="6"/>
      <c r="AB1074" s="6"/>
      <c r="AC1074" s="6"/>
      <c r="AD1074" s="6"/>
      <c r="AE1074" s="6"/>
    </row>
    <row r="1075" spans="1:31" s="19" customFormat="1" ht="18.75">
      <c r="A1075" s="11"/>
      <c r="B1075" s="83" t="s">
        <v>622</v>
      </c>
      <c r="C1075" s="126" t="s">
        <v>705</v>
      </c>
      <c r="D1075" s="3"/>
      <c r="E1075" s="3"/>
      <c r="F1075" s="10"/>
      <c r="G1075" s="10"/>
      <c r="H1075" s="10"/>
      <c r="I1075" s="41" t="s">
        <v>573</v>
      </c>
      <c r="J1075" s="1141">
        <f>J1074</f>
        <v>73200</v>
      </c>
      <c r="K1075" s="1360">
        <f>K1074</f>
        <v>0.30000000000000004</v>
      </c>
      <c r="L1075" s="1348">
        <f>SUM(J1075:K1075)</f>
        <v>73200.3</v>
      </c>
      <c r="M1075" s="1486">
        <f>M1074</f>
        <v>7.32</v>
      </c>
      <c r="N1075" s="1499">
        <f>N1074</f>
        <v>0.30000000000000004</v>
      </c>
      <c r="O1075" s="1440">
        <f>SUM(M1075:N1075)</f>
        <v>7.62</v>
      </c>
      <c r="P1075" s="22"/>
      <c r="Q1075" s="6"/>
      <c r="R1075" s="2509"/>
      <c r="S1075" s="2509"/>
      <c r="T1075" s="2517"/>
      <c r="U1075" s="2517"/>
      <c r="V1075" s="2517"/>
      <c r="W1075" s="2523">
        <f t="shared" si="139"/>
        <v>73200</v>
      </c>
      <c r="X1075" s="2543">
        <f>X1074</f>
        <v>61000</v>
      </c>
      <c r="Y1075" s="2509"/>
      <c r="Z1075" s="2509"/>
      <c r="AA1075" s="6"/>
      <c r="AB1075" s="6"/>
      <c r="AC1075" s="6"/>
      <c r="AD1075" s="6"/>
      <c r="AE1075" s="6"/>
    </row>
    <row r="1076" spans="1:31" s="19" customFormat="1" ht="18.75">
      <c r="A1076" s="11">
        <v>26</v>
      </c>
      <c r="B1076" s="67"/>
      <c r="C1076" s="1546" t="s">
        <v>750</v>
      </c>
      <c r="D1076" s="3"/>
      <c r="E1076" s="3"/>
      <c r="F1076" s="10"/>
      <c r="G1076" s="10"/>
      <c r="H1076" s="10"/>
      <c r="I1076" s="41"/>
      <c r="J1076" s="1141"/>
      <c r="K1076" s="1360"/>
      <c r="L1076" s="1348"/>
      <c r="M1076" s="1462"/>
      <c r="N1076" s="1499"/>
      <c r="O1076" s="1440"/>
      <c r="P1076" s="22"/>
      <c r="Q1076" s="6"/>
      <c r="R1076" s="2509"/>
      <c r="S1076" s="2509"/>
      <c r="T1076" s="2517"/>
      <c r="U1076" s="2517"/>
      <c r="V1076" s="2517"/>
      <c r="W1076" s="2523">
        <f t="shared" si="139"/>
        <v>0</v>
      </c>
      <c r="X1076" s="2543"/>
      <c r="Y1076" s="2509"/>
      <c r="Z1076" s="2509"/>
      <c r="AA1076" s="6"/>
      <c r="AB1076" s="6"/>
      <c r="AC1076" s="6"/>
      <c r="AD1076" s="6"/>
      <c r="AE1076" s="6"/>
    </row>
    <row r="1077" spans="1:31" s="19" customFormat="1" ht="18.75">
      <c r="A1077" s="11"/>
      <c r="B1077" s="83" t="s">
        <v>622</v>
      </c>
      <c r="C1077" s="126" t="s">
        <v>704</v>
      </c>
      <c r="D1077" s="3"/>
      <c r="E1077" s="3"/>
      <c r="F1077" s="10"/>
      <c r="G1077" s="10"/>
      <c r="H1077" s="10"/>
      <c r="I1077" s="41" t="s">
        <v>573</v>
      </c>
      <c r="J1077" s="1141">
        <v>73200</v>
      </c>
      <c r="K1077" s="1360">
        <f>K516</f>
        <v>0.44000000000000006</v>
      </c>
      <c r="L1077" s="1348">
        <f>SUM(J1077:K1077)</f>
        <v>73200.44</v>
      </c>
      <c r="M1077" s="1486">
        <f>J1077/10000</f>
        <v>7.32</v>
      </c>
      <c r="N1077" s="1499">
        <f>N516</f>
        <v>0.44000000000000006</v>
      </c>
      <c r="O1077" s="1440">
        <f>SUM(M1077:N1077)</f>
        <v>7.760000000000001</v>
      </c>
      <c r="P1077" s="22"/>
      <c r="Q1077" s="6"/>
      <c r="R1077" s="2509"/>
      <c r="S1077" s="2509"/>
      <c r="T1077" s="2517"/>
      <c r="U1077" s="2517"/>
      <c r="V1077" s="2517"/>
      <c r="W1077" s="2523">
        <f t="shared" si="139"/>
        <v>73200</v>
      </c>
      <c r="X1077" s="2543">
        <v>61000</v>
      </c>
      <c r="Y1077" s="2509"/>
      <c r="Z1077" s="2509"/>
      <c r="AA1077" s="6"/>
      <c r="AB1077" s="6"/>
      <c r="AC1077" s="6"/>
      <c r="AD1077" s="6"/>
      <c r="AE1077" s="6"/>
    </row>
    <row r="1078" spans="1:31" s="19" customFormat="1" ht="18.75">
      <c r="A1078" s="11"/>
      <c r="B1078" s="83" t="s">
        <v>622</v>
      </c>
      <c r="C1078" s="126" t="s">
        <v>705</v>
      </c>
      <c r="D1078" s="3"/>
      <c r="E1078" s="3"/>
      <c r="F1078" s="10"/>
      <c r="G1078" s="10"/>
      <c r="H1078" s="10"/>
      <c r="I1078" s="41" t="s">
        <v>573</v>
      </c>
      <c r="J1078" s="1141">
        <f>J1077</f>
        <v>73200</v>
      </c>
      <c r="K1078" s="1360">
        <f>K1077</f>
        <v>0.44000000000000006</v>
      </c>
      <c r="L1078" s="1348">
        <f>SUM(J1078:K1078)</f>
        <v>73200.44</v>
      </c>
      <c r="M1078" s="1486">
        <f>M1077</f>
        <v>7.32</v>
      </c>
      <c r="N1078" s="1499">
        <f>N1077</f>
        <v>0.44000000000000006</v>
      </c>
      <c r="O1078" s="1440">
        <f>SUM(M1078:N1078)</f>
        <v>7.760000000000001</v>
      </c>
      <c r="P1078" s="22"/>
      <c r="Q1078" s="6"/>
      <c r="R1078" s="2509"/>
      <c r="S1078" s="2509"/>
      <c r="T1078" s="2517"/>
      <c r="U1078" s="2517"/>
      <c r="V1078" s="2517"/>
      <c r="W1078" s="2523">
        <f t="shared" si="139"/>
        <v>73200</v>
      </c>
      <c r="X1078" s="2543">
        <f>X1077</f>
        <v>61000</v>
      </c>
      <c r="Y1078" s="2509"/>
      <c r="Z1078" s="2509"/>
      <c r="AA1078" s="6"/>
      <c r="AB1078" s="6"/>
      <c r="AC1078" s="6"/>
      <c r="AD1078" s="6"/>
      <c r="AE1078" s="6"/>
    </row>
    <row r="1079" spans="1:31" s="19" customFormat="1" ht="18.75">
      <c r="A1079" s="11">
        <v>27</v>
      </c>
      <c r="B1079" s="67"/>
      <c r="C1079" s="1546" t="s">
        <v>751</v>
      </c>
      <c r="D1079" s="3"/>
      <c r="E1079" s="3"/>
      <c r="F1079" s="10"/>
      <c r="G1079" s="10"/>
      <c r="H1079" s="10"/>
      <c r="I1079" s="41"/>
      <c r="J1079" s="1141"/>
      <c r="K1079" s="1360"/>
      <c r="L1079" s="1348"/>
      <c r="M1079" s="1462"/>
      <c r="N1079" s="1499"/>
      <c r="O1079" s="1440"/>
      <c r="P1079" s="22"/>
      <c r="Q1079" s="6"/>
      <c r="R1079" s="2509"/>
      <c r="S1079" s="2509"/>
      <c r="T1079" s="2518"/>
      <c r="U1079" s="2518"/>
      <c r="V1079" s="2518"/>
      <c r="W1079" s="2523">
        <f aca="true" t="shared" si="140" ref="W1079:W1141">X1079*1.2</f>
        <v>0</v>
      </c>
      <c r="X1079" s="2543"/>
      <c r="Y1079" s="2509"/>
      <c r="Z1079" s="2509"/>
      <c r="AA1079" s="6"/>
      <c r="AB1079" s="6"/>
      <c r="AC1079" s="6"/>
      <c r="AD1079" s="6"/>
      <c r="AE1079" s="6"/>
    </row>
    <row r="1080" spans="1:31" s="19" customFormat="1" ht="18.75">
      <c r="A1080" s="11"/>
      <c r="B1080" s="83" t="s">
        <v>622</v>
      </c>
      <c r="C1080" s="126" t="s">
        <v>704</v>
      </c>
      <c r="D1080" s="3"/>
      <c r="E1080" s="3"/>
      <c r="F1080" s="10"/>
      <c r="G1080" s="10"/>
      <c r="H1080" s="10"/>
      <c r="I1080" s="41" t="s">
        <v>573</v>
      </c>
      <c r="J1080" s="1141">
        <v>73200</v>
      </c>
      <c r="K1080" s="1360">
        <f>K519</f>
        <v>0.30000000000000004</v>
      </c>
      <c r="L1080" s="1348">
        <f>SUM(J1080:K1080)</f>
        <v>73200.3</v>
      </c>
      <c r="M1080" s="1486">
        <f>J1080/10000</f>
        <v>7.32</v>
      </c>
      <c r="N1080" s="1499">
        <f>N519</f>
        <v>0.30000000000000004</v>
      </c>
      <c r="O1080" s="1440">
        <f>SUM(M1080:N1080)</f>
        <v>7.62</v>
      </c>
      <c r="P1080" s="22"/>
      <c r="Q1080" s="6"/>
      <c r="R1080" s="2509"/>
      <c r="S1080" s="2509"/>
      <c r="T1080" s="2518"/>
      <c r="U1080" s="2518"/>
      <c r="V1080" s="2518"/>
      <c r="W1080" s="2523">
        <f t="shared" si="140"/>
        <v>73200</v>
      </c>
      <c r="X1080" s="2543">
        <v>61000</v>
      </c>
      <c r="Y1080" s="2509"/>
      <c r="Z1080" s="2509"/>
      <c r="AA1080" s="6"/>
      <c r="AB1080" s="6"/>
      <c r="AC1080" s="6"/>
      <c r="AD1080" s="6"/>
      <c r="AE1080" s="6"/>
    </row>
    <row r="1081" spans="1:31" s="19" customFormat="1" ht="18.75">
      <c r="A1081" s="11"/>
      <c r="B1081" s="83" t="s">
        <v>622</v>
      </c>
      <c r="C1081" s="126" t="s">
        <v>705</v>
      </c>
      <c r="D1081" s="3"/>
      <c r="E1081" s="3"/>
      <c r="F1081" s="10"/>
      <c r="G1081" s="10"/>
      <c r="H1081" s="10"/>
      <c r="I1081" s="41" t="s">
        <v>573</v>
      </c>
      <c r="J1081" s="1141">
        <f>J1080</f>
        <v>73200</v>
      </c>
      <c r="K1081" s="1360">
        <f>K1080</f>
        <v>0.30000000000000004</v>
      </c>
      <c r="L1081" s="1348">
        <f>SUM(J1081:K1081)</f>
        <v>73200.3</v>
      </c>
      <c r="M1081" s="1486">
        <f>M1080</f>
        <v>7.32</v>
      </c>
      <c r="N1081" s="1499">
        <f>N1080</f>
        <v>0.30000000000000004</v>
      </c>
      <c r="O1081" s="1440">
        <f>SUM(M1081:N1081)</f>
        <v>7.62</v>
      </c>
      <c r="P1081" s="22"/>
      <c r="Q1081" s="6"/>
      <c r="R1081" s="2509"/>
      <c r="S1081" s="2509"/>
      <c r="T1081" s="2518"/>
      <c r="U1081" s="2518"/>
      <c r="V1081" s="2518"/>
      <c r="W1081" s="2523">
        <f t="shared" si="140"/>
        <v>73200</v>
      </c>
      <c r="X1081" s="2543">
        <f>X1080</f>
        <v>61000</v>
      </c>
      <c r="Y1081" s="2509"/>
      <c r="Z1081" s="2509"/>
      <c r="AA1081" s="6"/>
      <c r="AB1081" s="6"/>
      <c r="AC1081" s="6"/>
      <c r="AD1081" s="6"/>
      <c r="AE1081" s="6"/>
    </row>
    <row r="1082" spans="1:31" s="19" customFormat="1" ht="18.75">
      <c r="A1082" s="11"/>
      <c r="B1082" s="67"/>
      <c r="C1082" s="1547" t="s">
        <v>752</v>
      </c>
      <c r="D1082" s="126"/>
      <c r="E1082" s="126"/>
      <c r="F1082" s="126"/>
      <c r="G1082" s="126"/>
      <c r="H1082" s="126"/>
      <c r="I1082" s="41"/>
      <c r="J1082" s="1141"/>
      <c r="K1082" s="1360"/>
      <c r="L1082" s="1348"/>
      <c r="M1082" s="1462"/>
      <c r="N1082" s="1499"/>
      <c r="O1082" s="1440"/>
      <c r="P1082" s="22"/>
      <c r="Q1082" s="6"/>
      <c r="R1082" s="2509"/>
      <c r="S1082" s="2509"/>
      <c r="T1082" s="2517"/>
      <c r="U1082" s="2517"/>
      <c r="V1082" s="2517"/>
      <c r="W1082" s="2523">
        <f t="shared" si="140"/>
        <v>0</v>
      </c>
      <c r="X1082" s="2543"/>
      <c r="Y1082" s="2509"/>
      <c r="Z1082" s="2509"/>
      <c r="AA1082" s="6"/>
      <c r="AB1082" s="6"/>
      <c r="AC1082" s="6"/>
      <c r="AD1082" s="6"/>
      <c r="AE1082" s="6"/>
    </row>
    <row r="1083" spans="1:31" s="19" customFormat="1" ht="18.75">
      <c r="A1083" s="11">
        <v>28</v>
      </c>
      <c r="B1083" s="67"/>
      <c r="C1083" s="1546" t="s">
        <v>753</v>
      </c>
      <c r="D1083" s="126"/>
      <c r="E1083" s="126"/>
      <c r="F1083" s="126"/>
      <c r="G1083" s="126"/>
      <c r="H1083" s="126"/>
      <c r="I1083" s="41"/>
      <c r="J1083" s="1141"/>
      <c r="K1083" s="1360"/>
      <c r="L1083" s="1348"/>
      <c r="M1083" s="1462"/>
      <c r="N1083" s="1499"/>
      <c r="O1083" s="1440"/>
      <c r="P1083" s="22"/>
      <c r="Q1083" s="6"/>
      <c r="R1083" s="2509"/>
      <c r="S1083" s="2509"/>
      <c r="T1083" s="2517"/>
      <c r="U1083" s="2517"/>
      <c r="V1083" s="2517"/>
      <c r="W1083" s="2523">
        <f t="shared" si="140"/>
        <v>0</v>
      </c>
      <c r="X1083" s="2543"/>
      <c r="Y1083" s="2509"/>
      <c r="Z1083" s="2509"/>
      <c r="AA1083" s="6"/>
      <c r="AB1083" s="6"/>
      <c r="AC1083" s="6"/>
      <c r="AD1083" s="6"/>
      <c r="AE1083" s="6"/>
    </row>
    <row r="1084" spans="1:31" s="19" customFormat="1" ht="18.75">
      <c r="A1084" s="11"/>
      <c r="B1084" s="83" t="s">
        <v>622</v>
      </c>
      <c r="C1084" s="126" t="s">
        <v>704</v>
      </c>
      <c r="D1084" s="126"/>
      <c r="E1084" s="126"/>
      <c r="F1084" s="126"/>
      <c r="G1084" s="126"/>
      <c r="H1084" s="126"/>
      <c r="I1084" s="41" t="s">
        <v>573</v>
      </c>
      <c r="J1084" s="1141">
        <v>329500</v>
      </c>
      <c r="K1084" s="1360">
        <f>K523</f>
        <v>0.44000000000000006</v>
      </c>
      <c r="L1084" s="1348">
        <f>SUM(J1084:K1084)</f>
        <v>329500.44</v>
      </c>
      <c r="M1084" s="1486">
        <f>J1084/10000</f>
        <v>32.95</v>
      </c>
      <c r="N1084" s="1499">
        <f>N523</f>
        <v>0.44000000000000006</v>
      </c>
      <c r="O1084" s="1440">
        <f>SUM(M1084:N1084)</f>
        <v>33.39</v>
      </c>
      <c r="P1084" s="22"/>
      <c r="Q1084" s="6"/>
      <c r="R1084" s="2509"/>
      <c r="S1084" s="2509"/>
      <c r="T1084" s="2517"/>
      <c r="U1084" s="2517"/>
      <c r="V1084" s="2517"/>
      <c r="W1084" s="2523">
        <f t="shared" si="140"/>
        <v>329520</v>
      </c>
      <c r="X1084" s="2543">
        <v>274600</v>
      </c>
      <c r="Y1084" s="2509"/>
      <c r="Z1084" s="2509"/>
      <c r="AA1084" s="6"/>
      <c r="AB1084" s="6"/>
      <c r="AC1084" s="6"/>
      <c r="AD1084" s="6"/>
      <c r="AE1084" s="6"/>
    </row>
    <row r="1085" spans="1:31" s="19" customFormat="1" ht="18.75">
      <c r="A1085" s="11">
        <v>29</v>
      </c>
      <c r="B1085" s="67"/>
      <c r="C1085" s="1546" t="s">
        <v>754</v>
      </c>
      <c r="D1085" s="126"/>
      <c r="E1085" s="126"/>
      <c r="F1085" s="126"/>
      <c r="G1085" s="126"/>
      <c r="H1085" s="126"/>
      <c r="I1085" s="41"/>
      <c r="J1085" s="1141"/>
      <c r="K1085" s="1360"/>
      <c r="L1085" s="1348"/>
      <c r="M1085" s="1462"/>
      <c r="N1085" s="1499"/>
      <c r="O1085" s="1440"/>
      <c r="P1085" s="22"/>
      <c r="Q1085" s="6"/>
      <c r="R1085" s="2509"/>
      <c r="S1085" s="2509"/>
      <c r="T1085" s="2517"/>
      <c r="U1085" s="2517"/>
      <c r="V1085" s="2517"/>
      <c r="W1085" s="2523">
        <f t="shared" si="140"/>
        <v>0</v>
      </c>
      <c r="X1085" s="2543"/>
      <c r="Y1085" s="2509"/>
      <c r="Z1085" s="2509"/>
      <c r="AA1085" s="6"/>
      <c r="AB1085" s="6"/>
      <c r="AC1085" s="6"/>
      <c r="AD1085" s="6"/>
      <c r="AE1085" s="6"/>
    </row>
    <row r="1086" spans="1:31" s="19" customFormat="1" ht="18.75">
      <c r="A1086" s="11"/>
      <c r="B1086" s="83" t="s">
        <v>622</v>
      </c>
      <c r="C1086" s="126" t="s">
        <v>704</v>
      </c>
      <c r="D1086" s="126"/>
      <c r="E1086" s="126"/>
      <c r="F1086" s="126"/>
      <c r="G1086" s="126"/>
      <c r="H1086" s="126"/>
      <c r="I1086" s="41" t="s">
        <v>573</v>
      </c>
      <c r="J1086" s="1141">
        <v>183000</v>
      </c>
      <c r="K1086" s="1360">
        <f>K525</f>
        <v>0.30000000000000004</v>
      </c>
      <c r="L1086" s="1348">
        <f>SUM(J1086:K1086)</f>
        <v>183000.3</v>
      </c>
      <c r="M1086" s="1486">
        <f>J1086/10000</f>
        <v>18.3</v>
      </c>
      <c r="N1086" s="1499">
        <f>N525</f>
        <v>0.30000000000000004</v>
      </c>
      <c r="O1086" s="1440">
        <f>SUM(M1086:N1086)</f>
        <v>18.6</v>
      </c>
      <c r="P1086" s="22"/>
      <c r="Q1086" s="6"/>
      <c r="R1086" s="2509"/>
      <c r="S1086" s="2509"/>
      <c r="T1086" s="2517"/>
      <c r="U1086" s="2517"/>
      <c r="V1086" s="2517"/>
      <c r="W1086" s="2523">
        <f t="shared" si="140"/>
        <v>183000</v>
      </c>
      <c r="X1086" s="2543">
        <v>152500</v>
      </c>
      <c r="Y1086" s="2509"/>
      <c r="Z1086" s="2509"/>
      <c r="AA1086" s="6"/>
      <c r="AB1086" s="6"/>
      <c r="AC1086" s="6"/>
      <c r="AD1086" s="6"/>
      <c r="AE1086" s="6"/>
    </row>
    <row r="1087" spans="1:31" s="19" customFormat="1" ht="18.75">
      <c r="A1087" s="11">
        <v>30</v>
      </c>
      <c r="B1087" s="67"/>
      <c r="C1087" s="1546" t="s">
        <v>755</v>
      </c>
      <c r="D1087" s="126"/>
      <c r="E1087" s="126"/>
      <c r="F1087" s="126"/>
      <c r="G1087" s="126"/>
      <c r="H1087" s="126"/>
      <c r="I1087" s="41"/>
      <c r="J1087" s="1141"/>
      <c r="K1087" s="1360"/>
      <c r="L1087" s="1348"/>
      <c r="M1087" s="1462"/>
      <c r="N1087" s="1499"/>
      <c r="O1087" s="1440"/>
      <c r="P1087" s="22"/>
      <c r="Q1087" s="6"/>
      <c r="R1087" s="2509"/>
      <c r="S1087" s="2509"/>
      <c r="T1087" s="2517"/>
      <c r="U1087" s="2517"/>
      <c r="V1087" s="2517"/>
      <c r="W1087" s="2523">
        <f t="shared" si="140"/>
        <v>0</v>
      </c>
      <c r="X1087" s="2543"/>
      <c r="Y1087" s="2509"/>
      <c r="Z1087" s="2509"/>
      <c r="AA1087" s="6"/>
      <c r="AB1087" s="6"/>
      <c r="AC1087" s="6"/>
      <c r="AD1087" s="6"/>
      <c r="AE1087" s="6"/>
    </row>
    <row r="1088" spans="1:31" s="19" customFormat="1" ht="18.75">
      <c r="A1088" s="11"/>
      <c r="B1088" s="83" t="s">
        <v>622</v>
      </c>
      <c r="C1088" s="126" t="s">
        <v>704</v>
      </c>
      <c r="D1088" s="126"/>
      <c r="E1088" s="126"/>
      <c r="F1088" s="126"/>
      <c r="G1088" s="126"/>
      <c r="H1088" s="126"/>
      <c r="I1088" s="41" t="s">
        <v>573</v>
      </c>
      <c r="J1088" s="1141">
        <v>219700</v>
      </c>
      <c r="K1088" s="1360">
        <f>K528</f>
        <v>0.30000000000000004</v>
      </c>
      <c r="L1088" s="1348">
        <f>SUM(J1088:K1088)</f>
        <v>219700.3</v>
      </c>
      <c r="M1088" s="1486">
        <f>J1088/10000</f>
        <v>21.97</v>
      </c>
      <c r="N1088" s="1499">
        <f>N528</f>
        <v>0.30000000000000004</v>
      </c>
      <c r="O1088" s="1440">
        <f>SUM(M1088:N1088)</f>
        <v>22.27</v>
      </c>
      <c r="P1088" s="22"/>
      <c r="Q1088" s="6"/>
      <c r="R1088" s="2509"/>
      <c r="S1088" s="2509"/>
      <c r="T1088" s="2517"/>
      <c r="U1088" s="2517"/>
      <c r="V1088" s="2517"/>
      <c r="W1088" s="2523">
        <f t="shared" si="140"/>
        <v>219720</v>
      </c>
      <c r="X1088" s="2543">
        <v>183100</v>
      </c>
      <c r="Y1088" s="2509"/>
      <c r="Z1088" s="2509"/>
      <c r="AA1088" s="6"/>
      <c r="AB1088" s="6"/>
      <c r="AC1088" s="6"/>
      <c r="AD1088" s="6"/>
      <c r="AE1088" s="6"/>
    </row>
    <row r="1089" spans="1:31" s="19" customFormat="1" ht="18.75">
      <c r="A1089" s="11"/>
      <c r="B1089" s="83" t="s">
        <v>622</v>
      </c>
      <c r="C1089" s="126" t="s">
        <v>705</v>
      </c>
      <c r="D1089" s="126"/>
      <c r="E1089" s="126"/>
      <c r="F1089" s="126"/>
      <c r="G1089" s="126"/>
      <c r="H1089" s="126"/>
      <c r="I1089" s="41" t="s">
        <v>573</v>
      </c>
      <c r="J1089" s="1141">
        <f>J1088</f>
        <v>219700</v>
      </c>
      <c r="K1089" s="1360">
        <f>K1088</f>
        <v>0.30000000000000004</v>
      </c>
      <c r="L1089" s="1348">
        <f>SUM(J1089:K1089)</f>
        <v>219700.3</v>
      </c>
      <c r="M1089" s="1486">
        <f>M1088</f>
        <v>21.97</v>
      </c>
      <c r="N1089" s="1499">
        <f>N1088</f>
        <v>0.30000000000000004</v>
      </c>
      <c r="O1089" s="1440">
        <f>SUM(M1089:N1089)</f>
        <v>22.27</v>
      </c>
      <c r="P1089" s="22"/>
      <c r="Q1089" s="6"/>
      <c r="R1089" s="2509"/>
      <c r="S1089" s="2509"/>
      <c r="T1089" s="2517"/>
      <c r="U1089" s="2517"/>
      <c r="V1089" s="2517"/>
      <c r="W1089" s="2523">
        <f t="shared" si="140"/>
        <v>219720</v>
      </c>
      <c r="X1089" s="2543">
        <f>X1088</f>
        <v>183100</v>
      </c>
      <c r="Y1089" s="2509"/>
      <c r="Z1089" s="2509"/>
      <c r="AA1089" s="6"/>
      <c r="AB1089" s="6"/>
      <c r="AC1089" s="6"/>
      <c r="AD1089" s="6"/>
      <c r="AE1089" s="6"/>
    </row>
    <row r="1090" spans="1:31" s="19" customFormat="1" ht="18.75">
      <c r="A1090" s="11">
        <v>31</v>
      </c>
      <c r="B1090" s="67"/>
      <c r="C1090" s="1546" t="s">
        <v>756</v>
      </c>
      <c r="D1090" s="126"/>
      <c r="E1090" s="126"/>
      <c r="F1090" s="126"/>
      <c r="G1090" s="126"/>
      <c r="H1090" s="126"/>
      <c r="I1090" s="41"/>
      <c r="J1090" s="1141"/>
      <c r="K1090" s="1360"/>
      <c r="L1090" s="1348"/>
      <c r="M1090" s="1462"/>
      <c r="N1090" s="1499"/>
      <c r="O1090" s="1440"/>
      <c r="P1090" s="22"/>
      <c r="Q1090" s="6"/>
      <c r="R1090" s="2509"/>
      <c r="S1090" s="2509"/>
      <c r="T1090" s="2517"/>
      <c r="U1090" s="2517"/>
      <c r="V1090" s="2517"/>
      <c r="W1090" s="2523">
        <f t="shared" si="140"/>
        <v>0</v>
      </c>
      <c r="X1090" s="2543"/>
      <c r="Y1090" s="2509"/>
      <c r="Z1090" s="2509"/>
      <c r="AA1090" s="6"/>
      <c r="AB1090" s="6"/>
      <c r="AC1090" s="6"/>
      <c r="AD1090" s="6"/>
      <c r="AE1090" s="6"/>
    </row>
    <row r="1091" spans="1:31" s="19" customFormat="1" ht="18.75">
      <c r="A1091" s="11"/>
      <c r="B1091" s="83" t="s">
        <v>622</v>
      </c>
      <c r="C1091" s="126" t="s">
        <v>705</v>
      </c>
      <c r="D1091" s="126"/>
      <c r="E1091" s="126"/>
      <c r="F1091" s="126"/>
      <c r="G1091" s="126"/>
      <c r="H1091" s="126"/>
      <c r="I1091" s="41" t="s">
        <v>573</v>
      </c>
      <c r="J1091" s="1141">
        <v>219700</v>
      </c>
      <c r="K1091" s="1360">
        <f>K530</f>
        <v>0.30000000000000004</v>
      </c>
      <c r="L1091" s="1348">
        <f>SUM(J1091:K1091)</f>
        <v>219700.3</v>
      </c>
      <c r="M1091" s="1486">
        <f>J1091/10000</f>
        <v>21.97</v>
      </c>
      <c r="N1091" s="1499">
        <f>N530</f>
        <v>0.30000000000000004</v>
      </c>
      <c r="O1091" s="1440">
        <f>SUM(M1091:N1091)</f>
        <v>22.27</v>
      </c>
      <c r="P1091" s="22"/>
      <c r="Q1091" s="6"/>
      <c r="R1091" s="2509"/>
      <c r="S1091" s="2509"/>
      <c r="T1091" s="2517"/>
      <c r="U1091" s="2517"/>
      <c r="V1091" s="2517"/>
      <c r="W1091" s="2523">
        <f t="shared" si="140"/>
        <v>219720</v>
      </c>
      <c r="X1091" s="2543">
        <v>183100</v>
      </c>
      <c r="Y1091" s="2509"/>
      <c r="Z1091" s="2509"/>
      <c r="AA1091" s="6"/>
      <c r="AB1091" s="6"/>
      <c r="AC1091" s="6"/>
      <c r="AD1091" s="6"/>
      <c r="AE1091" s="6"/>
    </row>
    <row r="1092" spans="1:31" s="19" customFormat="1" ht="18.75">
      <c r="A1092" s="494">
        <v>32</v>
      </c>
      <c r="B1092" s="67"/>
      <c r="C1092" s="1546" t="s">
        <v>757</v>
      </c>
      <c r="D1092" s="126"/>
      <c r="E1092" s="126"/>
      <c r="F1092" s="126"/>
      <c r="G1092" s="126"/>
      <c r="H1092" s="126"/>
      <c r="I1092" s="41"/>
      <c r="J1092" s="1141"/>
      <c r="K1092" s="1360"/>
      <c r="L1092" s="1348"/>
      <c r="M1092" s="1462"/>
      <c r="N1092" s="1499"/>
      <c r="O1092" s="1440"/>
      <c r="P1092" s="22"/>
      <c r="Q1092" s="6"/>
      <c r="R1092" s="2509"/>
      <c r="S1092" s="2509"/>
      <c r="T1092" s="2517"/>
      <c r="U1092" s="2517"/>
      <c r="V1092" s="2517"/>
      <c r="W1092" s="2523">
        <f t="shared" si="140"/>
        <v>0</v>
      </c>
      <c r="X1092" s="2543"/>
      <c r="Y1092" s="2509"/>
      <c r="Z1092" s="2509"/>
      <c r="AA1092" s="6"/>
      <c r="AB1092" s="6"/>
      <c r="AC1092" s="6"/>
      <c r="AD1092" s="6"/>
      <c r="AE1092" s="6"/>
    </row>
    <row r="1093" spans="1:31" s="19" customFormat="1" ht="18.75">
      <c r="A1093" s="494"/>
      <c r="B1093" s="83" t="s">
        <v>622</v>
      </c>
      <c r="C1093" s="126" t="s">
        <v>704</v>
      </c>
      <c r="D1093" s="126"/>
      <c r="E1093" s="126"/>
      <c r="F1093" s="126"/>
      <c r="G1093" s="126"/>
      <c r="H1093" s="126"/>
      <c r="I1093" s="41" t="s">
        <v>573</v>
      </c>
      <c r="J1093" s="1141">
        <v>329500</v>
      </c>
      <c r="K1093" s="1360">
        <f>K532</f>
        <v>0.37</v>
      </c>
      <c r="L1093" s="1348">
        <f>SUM(J1093:K1093)</f>
        <v>329500.37</v>
      </c>
      <c r="M1093" s="1486">
        <f>J1093/10000</f>
        <v>32.95</v>
      </c>
      <c r="N1093" s="1499">
        <f>N532</f>
        <v>0.37</v>
      </c>
      <c r="O1093" s="1440">
        <f>SUM(M1093:N1093)</f>
        <v>33.32</v>
      </c>
      <c r="P1093" s="22"/>
      <c r="Q1093" s="6"/>
      <c r="R1093" s="2509"/>
      <c r="S1093" s="2509"/>
      <c r="T1093" s="2517"/>
      <c r="U1093" s="2517"/>
      <c r="V1093" s="2517"/>
      <c r="W1093" s="2523">
        <f t="shared" si="140"/>
        <v>329520</v>
      </c>
      <c r="X1093" s="2543">
        <v>274600</v>
      </c>
      <c r="Y1093" s="2509"/>
      <c r="Z1093" s="2509"/>
      <c r="AA1093" s="6"/>
      <c r="AB1093" s="6"/>
      <c r="AC1093" s="6"/>
      <c r="AD1093" s="6"/>
      <c r="AE1093" s="6"/>
    </row>
    <row r="1094" spans="1:31" s="19" customFormat="1" ht="18.75">
      <c r="A1094" s="494">
        <v>33</v>
      </c>
      <c r="B1094" s="67"/>
      <c r="C1094" s="2219" t="s">
        <v>758</v>
      </c>
      <c r="D1094" s="2219"/>
      <c r="E1094" s="2219"/>
      <c r="F1094" s="2219"/>
      <c r="G1094" s="2219"/>
      <c r="H1094" s="2219"/>
      <c r="I1094" s="41"/>
      <c r="J1094" s="1141"/>
      <c r="K1094" s="1360"/>
      <c r="L1094" s="1348"/>
      <c r="M1094" s="1462"/>
      <c r="N1094" s="1499"/>
      <c r="O1094" s="1440"/>
      <c r="P1094" s="22"/>
      <c r="Q1094" s="6"/>
      <c r="R1094" s="2509"/>
      <c r="S1094" s="2509"/>
      <c r="T1094" s="2517"/>
      <c r="U1094" s="2517"/>
      <c r="V1094" s="2517"/>
      <c r="W1094" s="2523">
        <f t="shared" si="140"/>
        <v>0</v>
      </c>
      <c r="X1094" s="2543"/>
      <c r="Y1094" s="2509"/>
      <c r="Z1094" s="2509"/>
      <c r="AA1094" s="6"/>
      <c r="AB1094" s="6"/>
      <c r="AC1094" s="6"/>
      <c r="AD1094" s="6"/>
      <c r="AE1094" s="6"/>
    </row>
    <row r="1095" spans="1:31" s="19" customFormat="1" ht="18.75">
      <c r="A1095" s="494"/>
      <c r="B1095" s="67"/>
      <c r="C1095" s="2219"/>
      <c r="D1095" s="2219"/>
      <c r="E1095" s="2219"/>
      <c r="F1095" s="2219"/>
      <c r="G1095" s="2219"/>
      <c r="H1095" s="2219"/>
      <c r="I1095" s="41"/>
      <c r="J1095" s="1141"/>
      <c r="K1095" s="1360"/>
      <c r="L1095" s="1348"/>
      <c r="M1095" s="1462"/>
      <c r="N1095" s="1499"/>
      <c r="O1095" s="1440"/>
      <c r="P1095" s="22"/>
      <c r="Q1095" s="6"/>
      <c r="R1095" s="2509"/>
      <c r="S1095" s="2509"/>
      <c r="T1095" s="2517"/>
      <c r="U1095" s="2517"/>
      <c r="V1095" s="2517"/>
      <c r="W1095" s="2523">
        <f t="shared" si="140"/>
        <v>0</v>
      </c>
      <c r="X1095" s="2543"/>
      <c r="Y1095" s="2509"/>
      <c r="Z1095" s="2509"/>
      <c r="AA1095" s="6"/>
      <c r="AB1095" s="6"/>
      <c r="AC1095" s="6"/>
      <c r="AD1095" s="6"/>
      <c r="AE1095" s="6"/>
    </row>
    <row r="1096" spans="1:31" s="19" customFormat="1" ht="18.75">
      <c r="A1096" s="494"/>
      <c r="B1096" s="67"/>
      <c r="C1096" s="2219"/>
      <c r="D1096" s="2219"/>
      <c r="E1096" s="2219"/>
      <c r="F1096" s="2219"/>
      <c r="G1096" s="2219"/>
      <c r="H1096" s="2219"/>
      <c r="I1096" s="41"/>
      <c r="J1096" s="1141"/>
      <c r="K1096" s="1360"/>
      <c r="L1096" s="1348"/>
      <c r="M1096" s="1462"/>
      <c r="N1096" s="1499"/>
      <c r="O1096" s="1440"/>
      <c r="P1096" s="22"/>
      <c r="Q1096" s="6"/>
      <c r="R1096" s="2509"/>
      <c r="S1096" s="2509"/>
      <c r="T1096" s="2509"/>
      <c r="U1096" s="2509"/>
      <c r="V1096" s="2509"/>
      <c r="W1096" s="2523">
        <f t="shared" si="140"/>
        <v>0</v>
      </c>
      <c r="X1096" s="2543"/>
      <c r="Y1096" s="2509"/>
      <c r="Z1096" s="2509"/>
      <c r="AA1096" s="6"/>
      <c r="AB1096" s="6"/>
      <c r="AC1096" s="6"/>
      <c r="AD1096" s="6"/>
      <c r="AE1096" s="6"/>
    </row>
    <row r="1097" spans="1:31" s="19" customFormat="1" ht="18.75">
      <c r="A1097" s="494"/>
      <c r="B1097" s="83" t="s">
        <v>622</v>
      </c>
      <c r="C1097" s="126" t="s">
        <v>704</v>
      </c>
      <c r="D1097" s="126"/>
      <c r="E1097" s="126"/>
      <c r="F1097" s="126"/>
      <c r="G1097" s="126"/>
      <c r="H1097" s="126"/>
      <c r="I1097" s="41" t="s">
        <v>573</v>
      </c>
      <c r="J1097" s="1141">
        <v>219700</v>
      </c>
      <c r="K1097" s="1360">
        <f>K536</f>
        <v>0.44000000000000006</v>
      </c>
      <c r="L1097" s="1348">
        <f>SUM(J1097:K1097)</f>
        <v>219700.44</v>
      </c>
      <c r="M1097" s="1486">
        <f>J1097/10000</f>
        <v>21.97</v>
      </c>
      <c r="N1097" s="1499">
        <f>N536</f>
        <v>0.44000000000000006</v>
      </c>
      <c r="O1097" s="1440">
        <f>SUM(M1097:N1097)</f>
        <v>22.41</v>
      </c>
      <c r="P1097" s="22"/>
      <c r="Q1097" s="6"/>
      <c r="R1097" s="2509"/>
      <c r="S1097" s="2509"/>
      <c r="T1097" s="2509"/>
      <c r="U1097" s="2509"/>
      <c r="V1097" s="2509"/>
      <c r="W1097" s="2523">
        <f t="shared" si="140"/>
        <v>219720</v>
      </c>
      <c r="X1097" s="2543">
        <v>183100</v>
      </c>
      <c r="Y1097" s="2509"/>
      <c r="Z1097" s="2509"/>
      <c r="AA1097" s="6"/>
      <c r="AB1097" s="6"/>
      <c r="AC1097" s="6"/>
      <c r="AD1097" s="6"/>
      <c r="AE1097" s="6"/>
    </row>
    <row r="1098" spans="1:31" s="19" customFormat="1" ht="18.75">
      <c r="A1098" s="494">
        <v>34</v>
      </c>
      <c r="B1098" s="67"/>
      <c r="C1098" s="2219" t="s">
        <v>759</v>
      </c>
      <c r="D1098" s="2219"/>
      <c r="E1098" s="2219"/>
      <c r="F1098" s="2219"/>
      <c r="G1098" s="2219"/>
      <c r="H1098" s="2219"/>
      <c r="I1098" s="41"/>
      <c r="J1098" s="1141"/>
      <c r="K1098" s="1360"/>
      <c r="L1098" s="1348"/>
      <c r="M1098" s="1462"/>
      <c r="N1098" s="1499"/>
      <c r="O1098" s="1440"/>
      <c r="P1098" s="22"/>
      <c r="Q1098" s="6"/>
      <c r="R1098" s="2509"/>
      <c r="S1098" s="2509"/>
      <c r="T1098" s="2509"/>
      <c r="U1098" s="2509"/>
      <c r="V1098" s="2509"/>
      <c r="W1098" s="2523">
        <f t="shared" si="140"/>
        <v>0</v>
      </c>
      <c r="X1098" s="2543"/>
      <c r="Y1098" s="2509"/>
      <c r="Z1098" s="2509"/>
      <c r="AA1098" s="6"/>
      <c r="AB1098" s="6"/>
      <c r="AC1098" s="6"/>
      <c r="AD1098" s="6"/>
      <c r="AE1098" s="6"/>
    </row>
    <row r="1099" spans="1:31" s="19" customFormat="1" ht="18.75">
      <c r="A1099" s="494"/>
      <c r="B1099" s="67"/>
      <c r="C1099" s="2219"/>
      <c r="D1099" s="2219"/>
      <c r="E1099" s="2219"/>
      <c r="F1099" s="2219"/>
      <c r="G1099" s="2219"/>
      <c r="H1099" s="2219"/>
      <c r="I1099" s="41"/>
      <c r="J1099" s="1141"/>
      <c r="K1099" s="1360"/>
      <c r="L1099" s="1348"/>
      <c r="M1099" s="1462"/>
      <c r="N1099" s="1499"/>
      <c r="O1099" s="1440"/>
      <c r="P1099" s="22"/>
      <c r="Q1099" s="6"/>
      <c r="R1099" s="2509"/>
      <c r="S1099" s="2509"/>
      <c r="T1099" s="2509"/>
      <c r="U1099" s="2509"/>
      <c r="V1099" s="2509"/>
      <c r="W1099" s="2523">
        <f t="shared" si="140"/>
        <v>0</v>
      </c>
      <c r="X1099" s="2543"/>
      <c r="Y1099" s="2509"/>
      <c r="Z1099" s="2509"/>
      <c r="AA1099" s="6"/>
      <c r="AB1099" s="6"/>
      <c r="AC1099" s="6"/>
      <c r="AD1099" s="6"/>
      <c r="AE1099" s="6"/>
    </row>
    <row r="1100" spans="1:31" s="19" customFormat="1" ht="18.75">
      <c r="A1100" s="11"/>
      <c r="B1100" s="67"/>
      <c r="C1100" s="2219"/>
      <c r="D1100" s="2219"/>
      <c r="E1100" s="2219"/>
      <c r="F1100" s="2219"/>
      <c r="G1100" s="2219"/>
      <c r="H1100" s="2219"/>
      <c r="I1100" s="41"/>
      <c r="J1100" s="1141"/>
      <c r="K1100" s="1360"/>
      <c r="L1100" s="1348"/>
      <c r="M1100" s="1462"/>
      <c r="N1100" s="1499"/>
      <c r="O1100" s="1440"/>
      <c r="P1100" s="22"/>
      <c r="Q1100" s="6"/>
      <c r="R1100" s="2509"/>
      <c r="S1100" s="2509"/>
      <c r="T1100" s="2509"/>
      <c r="U1100" s="2509"/>
      <c r="V1100" s="2509"/>
      <c r="W1100" s="2523">
        <f t="shared" si="140"/>
        <v>0</v>
      </c>
      <c r="X1100" s="2543"/>
      <c r="Y1100" s="2509"/>
      <c r="Z1100" s="2509"/>
      <c r="AA1100" s="6"/>
      <c r="AB1100" s="6"/>
      <c r="AC1100" s="6"/>
      <c r="AD1100" s="6"/>
      <c r="AE1100" s="6"/>
    </row>
    <row r="1101" spans="1:31" s="19" customFormat="1" ht="18.75">
      <c r="A1101" s="128"/>
      <c r="B1101" s="131" t="s">
        <v>622</v>
      </c>
      <c r="C1101" s="634" t="s">
        <v>704</v>
      </c>
      <c r="D1101" s="634"/>
      <c r="E1101" s="634"/>
      <c r="F1101" s="634"/>
      <c r="G1101" s="634"/>
      <c r="H1101" s="634"/>
      <c r="I1101" s="715" t="s">
        <v>573</v>
      </c>
      <c r="J1101" s="1181">
        <v>219700</v>
      </c>
      <c r="K1101" s="1362">
        <f>K540</f>
        <v>0.44000000000000006</v>
      </c>
      <c r="L1101" s="1353">
        <f>SUM(J1101:K1101)</f>
        <v>219700.44</v>
      </c>
      <c r="M1101" s="1493">
        <f>J1101/10000</f>
        <v>21.97</v>
      </c>
      <c r="N1101" s="1500">
        <f>N540</f>
        <v>0.44000000000000006</v>
      </c>
      <c r="O1101" s="1449">
        <f>SUM(M1101:N1101)</f>
        <v>22.41</v>
      </c>
      <c r="P1101" s="22"/>
      <c r="Q1101" s="6"/>
      <c r="R1101" s="2509"/>
      <c r="S1101" s="2509"/>
      <c r="T1101" s="2509"/>
      <c r="U1101" s="2509"/>
      <c r="V1101" s="2509"/>
      <c r="W1101" s="2523">
        <f t="shared" si="140"/>
        <v>219720</v>
      </c>
      <c r="X1101" s="2543">
        <v>183100</v>
      </c>
      <c r="Y1101" s="2509"/>
      <c r="Z1101" s="2509"/>
      <c r="AA1101" s="6"/>
      <c r="AB1101" s="6"/>
      <c r="AC1101" s="6"/>
      <c r="AD1101" s="6"/>
      <c r="AE1101" s="6"/>
    </row>
    <row r="1102" spans="1:31" s="19" customFormat="1" ht="18.75">
      <c r="A1102" s="11">
        <v>35</v>
      </c>
      <c r="B1102" s="67"/>
      <c r="C1102" s="1546" t="s">
        <v>760</v>
      </c>
      <c r="D1102" s="126"/>
      <c r="E1102" s="126"/>
      <c r="F1102" s="126"/>
      <c r="G1102" s="126"/>
      <c r="H1102" s="126"/>
      <c r="I1102" s="41"/>
      <c r="J1102" s="1141"/>
      <c r="K1102" s="1360"/>
      <c r="L1102" s="1348"/>
      <c r="M1102" s="1462"/>
      <c r="N1102" s="1499"/>
      <c r="O1102" s="1440"/>
      <c r="P1102" s="22"/>
      <c r="Q1102" s="6"/>
      <c r="R1102" s="2509"/>
      <c r="S1102" s="2509"/>
      <c r="T1102" s="2509"/>
      <c r="U1102" s="2509"/>
      <c r="V1102" s="2509"/>
      <c r="W1102" s="2523">
        <f t="shared" si="140"/>
        <v>0</v>
      </c>
      <c r="X1102" s="2543"/>
      <c r="Y1102" s="2509"/>
      <c r="Z1102" s="2509"/>
      <c r="AA1102" s="6"/>
      <c r="AB1102" s="6"/>
      <c r="AC1102" s="6"/>
      <c r="AD1102" s="6"/>
      <c r="AE1102" s="6"/>
    </row>
    <row r="1103" spans="1:31" s="19" customFormat="1" ht="18.75">
      <c r="A1103" s="11"/>
      <c r="B1103" s="83" t="s">
        <v>622</v>
      </c>
      <c r="C1103" s="126" t="s">
        <v>705</v>
      </c>
      <c r="D1103" s="126"/>
      <c r="E1103" s="126"/>
      <c r="F1103" s="126"/>
      <c r="G1103" s="126"/>
      <c r="H1103" s="126"/>
      <c r="I1103" s="41" t="s">
        <v>573</v>
      </c>
      <c r="J1103" s="1141">
        <v>146400</v>
      </c>
      <c r="K1103" s="1360">
        <f>K542</f>
        <v>0.30000000000000004</v>
      </c>
      <c r="L1103" s="1348">
        <f>SUM(J1103:K1103)</f>
        <v>146400.3</v>
      </c>
      <c r="M1103" s="1486">
        <f>J1103/10000</f>
        <v>14.64</v>
      </c>
      <c r="N1103" s="1499">
        <f>N542</f>
        <v>0.30000000000000004</v>
      </c>
      <c r="O1103" s="1440">
        <f>SUM(M1103:N1103)</f>
        <v>14.940000000000001</v>
      </c>
      <c r="P1103" s="22"/>
      <c r="Q1103" s="6"/>
      <c r="R1103" s="2509"/>
      <c r="S1103" s="2509"/>
      <c r="T1103" s="2509"/>
      <c r="U1103" s="2509"/>
      <c r="V1103" s="2509"/>
      <c r="W1103" s="2523">
        <f t="shared" si="140"/>
        <v>146400</v>
      </c>
      <c r="X1103" s="2543">
        <v>122000</v>
      </c>
      <c r="Y1103" s="2509"/>
      <c r="Z1103" s="2509"/>
      <c r="AA1103" s="6"/>
      <c r="AB1103" s="6"/>
      <c r="AC1103" s="6"/>
      <c r="AD1103" s="6"/>
      <c r="AE1103" s="6"/>
    </row>
    <row r="1104" spans="1:31" s="19" customFormat="1" ht="18.75">
      <c r="A1104" s="11"/>
      <c r="B1104" s="83"/>
      <c r="C1104" s="17"/>
      <c r="D1104" s="3"/>
      <c r="E1104" s="3"/>
      <c r="F1104" s="10"/>
      <c r="G1104" s="10"/>
      <c r="H1104" s="10"/>
      <c r="I1104" s="41"/>
      <c r="J1104" s="1182"/>
      <c r="K1104" s="1364"/>
      <c r="L1104" s="1348"/>
      <c r="M1104" s="1462"/>
      <c r="N1104" s="1499"/>
      <c r="O1104" s="1440"/>
      <c r="P1104" s="22"/>
      <c r="Q1104" s="6"/>
      <c r="R1104" s="2509"/>
      <c r="S1104" s="2509"/>
      <c r="T1104" s="2509"/>
      <c r="U1104" s="2509"/>
      <c r="V1104" s="2509"/>
      <c r="W1104" s="2523">
        <f t="shared" si="140"/>
        <v>0</v>
      </c>
      <c r="X1104" s="2550"/>
      <c r="Y1104" s="2509"/>
      <c r="Z1104" s="2509"/>
      <c r="AA1104" s="6"/>
      <c r="AB1104" s="6"/>
      <c r="AC1104" s="6"/>
      <c r="AD1104" s="6"/>
      <c r="AE1104" s="6"/>
    </row>
    <row r="1105" spans="1:31" s="19" customFormat="1" ht="18.75">
      <c r="A1105" s="90">
        <v>12</v>
      </c>
      <c r="B1105" s="146" t="str">
        <f>B544</f>
        <v>Функциональная  диагностика</v>
      </c>
      <c r="C1105" s="1026"/>
      <c r="D1105" s="17"/>
      <c r="E1105" s="3"/>
      <c r="F1105" s="3"/>
      <c r="G1105" s="10"/>
      <c r="H1105" s="10"/>
      <c r="I1105" s="41"/>
      <c r="J1105" s="1182"/>
      <c r="K1105" s="1364"/>
      <c r="L1105" s="1348"/>
      <c r="M1105" s="1462"/>
      <c r="N1105" s="1499"/>
      <c r="O1105" s="1440"/>
      <c r="P1105" s="22"/>
      <c r="Q1105" s="6"/>
      <c r="R1105" s="2509"/>
      <c r="S1105" s="2509"/>
      <c r="T1105" s="2509"/>
      <c r="U1105" s="2509"/>
      <c r="V1105" s="2509"/>
      <c r="W1105" s="2523">
        <f t="shared" si="140"/>
        <v>0</v>
      </c>
      <c r="X1105" s="2550"/>
      <c r="Y1105" s="2509"/>
      <c r="Z1105" s="2509"/>
      <c r="AA1105" s="6"/>
      <c r="AB1105" s="6"/>
      <c r="AC1105" s="6"/>
      <c r="AD1105" s="6"/>
      <c r="AE1105" s="6"/>
    </row>
    <row r="1106" spans="1:31" s="19" customFormat="1" ht="18.75">
      <c r="A1106" s="11"/>
      <c r="B1106" s="83"/>
      <c r="C1106" s="631" t="str">
        <f>C545</f>
        <v>Электрокардиографические исследования</v>
      </c>
      <c r="D1106" s="126"/>
      <c r="E1106" s="126"/>
      <c r="F1106" s="126"/>
      <c r="G1106" s="126"/>
      <c r="H1106" s="126"/>
      <c r="I1106" s="41"/>
      <c r="J1106" s="1182"/>
      <c r="K1106" s="1364"/>
      <c r="L1106" s="1348"/>
      <c r="M1106" s="1462"/>
      <c r="N1106" s="1499"/>
      <c r="O1106" s="1440"/>
      <c r="P1106" s="22"/>
      <c r="Q1106" s="6"/>
      <c r="R1106" s="2509"/>
      <c r="S1106" s="2509"/>
      <c r="T1106" s="2509"/>
      <c r="U1106" s="2509"/>
      <c r="V1106" s="2509"/>
      <c r="W1106" s="2523">
        <f t="shared" si="140"/>
        <v>0</v>
      </c>
      <c r="X1106" s="2550"/>
      <c r="Y1106" s="2509"/>
      <c r="Z1106" s="2509"/>
      <c r="AA1106" s="6"/>
      <c r="AB1106" s="6"/>
      <c r="AC1106" s="6"/>
      <c r="AD1106" s="6"/>
      <c r="AE1106" s="6"/>
    </row>
    <row r="1107" spans="1:31" s="19" customFormat="1" ht="18.75">
      <c r="A1107" s="140">
        <v>1</v>
      </c>
      <c r="B1107" s="83"/>
      <c r="C1107" s="126" t="str">
        <f>C546</f>
        <v>ЭКГ в 12-ти  отведениях без функциональных проб</v>
      </c>
      <c r="D1107" s="126"/>
      <c r="E1107" s="126"/>
      <c r="F1107" s="126"/>
      <c r="G1107" s="126"/>
      <c r="H1107" s="126"/>
      <c r="I1107" s="41" t="s">
        <v>573</v>
      </c>
      <c r="J1107" s="1183">
        <v>97200</v>
      </c>
      <c r="K1107" s="1365">
        <f aca="true" t="shared" si="141" ref="K1107:K1112">K546</f>
        <v>0.5650000000000001</v>
      </c>
      <c r="L1107" s="1366">
        <f aca="true" t="shared" si="142" ref="L1107:L1112">SUM(J1107:K1107)</f>
        <v>97200.565</v>
      </c>
      <c r="M1107" s="1486">
        <f aca="true" t="shared" si="143" ref="M1107:M1112">J1107/10000</f>
        <v>9.72</v>
      </c>
      <c r="N1107" s="1501">
        <f aca="true" t="shared" si="144" ref="N1107:N1112">N546</f>
        <v>0.5650000000000001</v>
      </c>
      <c r="O1107" s="1453">
        <f aca="true" t="shared" si="145" ref="O1107:O1112">SUM(M1107:N1107)</f>
        <v>10.285</v>
      </c>
      <c r="P1107" s="22"/>
      <c r="Q1107" s="6"/>
      <c r="R1107" s="2509"/>
      <c r="S1107" s="2509"/>
      <c r="T1107" s="2509"/>
      <c r="U1107" s="2509"/>
      <c r="V1107" s="2509"/>
      <c r="W1107" s="2523">
        <f t="shared" si="140"/>
        <v>97200</v>
      </c>
      <c r="X1107" s="2551">
        <v>81000</v>
      </c>
      <c r="Y1107" s="2509"/>
      <c r="Z1107" s="2509"/>
      <c r="AA1107" s="6"/>
      <c r="AB1107" s="6"/>
      <c r="AC1107" s="6"/>
      <c r="AD1107" s="6"/>
      <c r="AE1107" s="6"/>
    </row>
    <row r="1108" spans="1:31" s="19" customFormat="1" ht="18.75">
      <c r="A1108" s="140">
        <v>2</v>
      </c>
      <c r="B1108" s="83"/>
      <c r="C1108" s="2197" t="s">
        <v>111</v>
      </c>
      <c r="D1108" s="2197"/>
      <c r="E1108" s="2197"/>
      <c r="F1108" s="2197"/>
      <c r="G1108" s="2197"/>
      <c r="H1108" s="2197"/>
      <c r="I1108" s="497" t="s">
        <v>573</v>
      </c>
      <c r="J1108" s="1183">
        <v>165200</v>
      </c>
      <c r="K1108" s="1365">
        <f t="shared" si="141"/>
        <v>0.549</v>
      </c>
      <c r="L1108" s="1366">
        <f t="shared" si="142"/>
        <v>165200.549</v>
      </c>
      <c r="M1108" s="1486">
        <f t="shared" si="143"/>
        <v>16.52</v>
      </c>
      <c r="N1108" s="1501">
        <f t="shared" si="144"/>
        <v>0.549</v>
      </c>
      <c r="O1108" s="1453">
        <f t="shared" si="145"/>
        <v>17.069</v>
      </c>
      <c r="P1108" s="22"/>
      <c r="Q1108" s="6"/>
      <c r="R1108" s="2509"/>
      <c r="S1108" s="2509"/>
      <c r="T1108" s="2509"/>
      <c r="U1108" s="2509"/>
      <c r="V1108" s="2509"/>
      <c r="W1108" s="2523">
        <f t="shared" si="140"/>
        <v>165240</v>
      </c>
      <c r="X1108" s="2551">
        <v>137700</v>
      </c>
      <c r="Y1108" s="2509"/>
      <c r="Z1108" s="2509"/>
      <c r="AA1108" s="6"/>
      <c r="AB1108" s="6"/>
      <c r="AC1108" s="6"/>
      <c r="AD1108" s="6"/>
      <c r="AE1108" s="6"/>
    </row>
    <row r="1109" spans="1:31" s="19" customFormat="1" ht="18.75">
      <c r="A1109" s="140">
        <v>3</v>
      </c>
      <c r="B1109" s="83"/>
      <c r="C1109" s="126" t="str">
        <f>C548</f>
        <v>ЭКГ в дополнительных отведениях</v>
      </c>
      <c r="D1109" s="126"/>
      <c r="E1109" s="126"/>
      <c r="F1109" s="126"/>
      <c r="G1109" s="126"/>
      <c r="H1109" s="126"/>
      <c r="I1109" s="41" t="s">
        <v>573</v>
      </c>
      <c r="J1109" s="1183">
        <v>79400</v>
      </c>
      <c r="K1109" s="1365">
        <f t="shared" si="141"/>
        <v>0.3335</v>
      </c>
      <c r="L1109" s="1366">
        <f t="shared" si="142"/>
        <v>79400.3335</v>
      </c>
      <c r="M1109" s="1486">
        <f t="shared" si="143"/>
        <v>7.94</v>
      </c>
      <c r="N1109" s="1501">
        <f t="shared" si="144"/>
        <v>0.3335</v>
      </c>
      <c r="O1109" s="1453">
        <f t="shared" si="145"/>
        <v>8.2735</v>
      </c>
      <c r="P1109" s="22"/>
      <c r="Q1109" s="6"/>
      <c r="R1109" s="2509"/>
      <c r="S1109" s="2509"/>
      <c r="T1109" s="2509"/>
      <c r="U1109" s="2509"/>
      <c r="V1109" s="2509"/>
      <c r="W1109" s="2523">
        <f t="shared" si="140"/>
        <v>78360</v>
      </c>
      <c r="X1109" s="2551">
        <v>65300</v>
      </c>
      <c r="Y1109" s="2509"/>
      <c r="Z1109" s="2509"/>
      <c r="AA1109" s="6"/>
      <c r="AB1109" s="6"/>
      <c r="AC1109" s="6"/>
      <c r="AD1109" s="6"/>
      <c r="AE1109" s="6"/>
    </row>
    <row r="1110" spans="1:31" s="19" customFormat="1" ht="18.75">
      <c r="A1110" s="140">
        <v>4</v>
      </c>
      <c r="B1110" s="83"/>
      <c r="C1110" s="2217" t="s">
        <v>499</v>
      </c>
      <c r="D1110" s="2217"/>
      <c r="E1110" s="2217"/>
      <c r="F1110" s="2217"/>
      <c r="G1110" s="2217"/>
      <c r="H1110" s="2217"/>
      <c r="I1110" s="497" t="s">
        <v>573</v>
      </c>
      <c r="J1110" s="1183">
        <v>557400</v>
      </c>
      <c r="K1110" s="1365">
        <f t="shared" si="141"/>
        <v>6.809999999999999</v>
      </c>
      <c r="L1110" s="1366">
        <f t="shared" si="142"/>
        <v>557406.81</v>
      </c>
      <c r="M1110" s="1502">
        <f t="shared" si="143"/>
        <v>55.74</v>
      </c>
      <c r="N1110" s="1501">
        <f t="shared" si="144"/>
        <v>6.809999999999999</v>
      </c>
      <c r="O1110" s="1453">
        <f t="shared" si="145"/>
        <v>62.55</v>
      </c>
      <c r="P1110" s="22"/>
      <c r="Q1110" s="6"/>
      <c r="R1110" s="2509"/>
      <c r="S1110" s="2509"/>
      <c r="T1110" s="2509"/>
      <c r="U1110" s="2509"/>
      <c r="V1110" s="2509"/>
      <c r="W1110" s="2523">
        <f t="shared" si="140"/>
        <v>557400</v>
      </c>
      <c r="X1110" s="2551">
        <v>464500</v>
      </c>
      <c r="Y1110" s="2509"/>
      <c r="Z1110" s="2509"/>
      <c r="AA1110" s="6"/>
      <c r="AB1110" s="6"/>
      <c r="AC1110" s="6"/>
      <c r="AD1110" s="6"/>
      <c r="AE1110" s="6"/>
    </row>
    <row r="1111" spans="1:31" s="19" customFormat="1" ht="18.75">
      <c r="A1111" s="140">
        <v>5</v>
      </c>
      <c r="B1111" s="83"/>
      <c r="C1111" s="2197" t="s">
        <v>121</v>
      </c>
      <c r="D1111" s="2197"/>
      <c r="E1111" s="2197"/>
      <c r="F1111" s="2197"/>
      <c r="G1111" s="2197"/>
      <c r="H1111" s="2197"/>
      <c r="I1111" s="497" t="s">
        <v>573</v>
      </c>
      <c r="J1111" s="1183">
        <v>384000</v>
      </c>
      <c r="K1111" s="1365">
        <f t="shared" si="141"/>
        <v>3.4245</v>
      </c>
      <c r="L1111" s="1366">
        <f>SUM(J1111:K1111)</f>
        <v>384003.4245</v>
      </c>
      <c r="M1111" s="1502">
        <f t="shared" si="143"/>
        <v>38.4</v>
      </c>
      <c r="N1111" s="1501">
        <f t="shared" si="144"/>
        <v>3.4245</v>
      </c>
      <c r="O1111" s="1453">
        <f t="shared" si="145"/>
        <v>41.8245</v>
      </c>
      <c r="P1111" s="22"/>
      <c r="Q1111" s="6"/>
      <c r="R1111" s="2509"/>
      <c r="S1111" s="2509"/>
      <c r="T1111" s="2509"/>
      <c r="U1111" s="2509"/>
      <c r="V1111" s="2509"/>
      <c r="W1111" s="2523">
        <f t="shared" si="140"/>
        <v>384000</v>
      </c>
      <c r="X1111" s="2551">
        <v>320000</v>
      </c>
      <c r="Y1111" s="2509"/>
      <c r="Z1111" s="2509"/>
      <c r="AA1111" s="6"/>
      <c r="AB1111" s="6"/>
      <c r="AC1111" s="6"/>
      <c r="AD1111" s="6"/>
      <c r="AE1111" s="6"/>
    </row>
    <row r="1112" spans="1:31" s="19" customFormat="1" ht="18.75">
      <c r="A1112" s="140">
        <v>6</v>
      </c>
      <c r="B1112" s="83"/>
      <c r="C1112" s="126" t="str">
        <f>C551</f>
        <v>Электрокардиотопограмма в 60 отведениях(ЭКТГ-60)</v>
      </c>
      <c r="D1112" s="126"/>
      <c r="E1112" s="126"/>
      <c r="F1112" s="126"/>
      <c r="G1112" s="126"/>
      <c r="H1112" s="126"/>
      <c r="I1112" s="41" t="s">
        <v>573</v>
      </c>
      <c r="J1112" s="1183">
        <v>384000</v>
      </c>
      <c r="K1112" s="1365">
        <f t="shared" si="141"/>
        <v>15.438999999999997</v>
      </c>
      <c r="L1112" s="1366">
        <f t="shared" si="142"/>
        <v>384015.439</v>
      </c>
      <c r="M1112" s="1486">
        <f t="shared" si="143"/>
        <v>38.4</v>
      </c>
      <c r="N1112" s="1501">
        <f t="shared" si="144"/>
        <v>15.438999999999997</v>
      </c>
      <c r="O1112" s="1453">
        <f t="shared" si="145"/>
        <v>53.839</v>
      </c>
      <c r="P1112" s="22"/>
      <c r="Q1112" s="6"/>
      <c r="R1112" s="2509"/>
      <c r="S1112" s="2509"/>
      <c r="T1112" s="2509"/>
      <c r="U1112" s="2509"/>
      <c r="V1112" s="2509"/>
      <c r="W1112" s="2523">
        <f t="shared" si="140"/>
        <v>384000</v>
      </c>
      <c r="X1112" s="2551">
        <v>320000</v>
      </c>
      <c r="Y1112" s="2509"/>
      <c r="Z1112" s="2509"/>
      <c r="AA1112" s="6"/>
      <c r="AB1112" s="6"/>
      <c r="AC1112" s="6"/>
      <c r="AD1112" s="6"/>
      <c r="AE1112" s="6"/>
    </row>
    <row r="1113" spans="1:31" s="19" customFormat="1" ht="18.75">
      <c r="A1113" s="140"/>
      <c r="B1113" s="83"/>
      <c r="C1113" s="2218" t="s">
        <v>114</v>
      </c>
      <c r="D1113" s="2218"/>
      <c r="E1113" s="2218"/>
      <c r="F1113" s="2218"/>
      <c r="G1113" s="2218"/>
      <c r="H1113" s="2218"/>
      <c r="I1113" s="41"/>
      <c r="J1113" s="1183"/>
      <c r="K1113" s="1365"/>
      <c r="L1113" s="1366"/>
      <c r="M1113" s="1479"/>
      <c r="N1113" s="1501"/>
      <c r="O1113" s="1453"/>
      <c r="P1113" s="22"/>
      <c r="Q1113" s="6"/>
      <c r="R1113" s="2509"/>
      <c r="S1113" s="2509"/>
      <c r="T1113" s="2509"/>
      <c r="U1113" s="2509"/>
      <c r="V1113" s="2509"/>
      <c r="W1113" s="2523">
        <f t="shared" si="140"/>
        <v>0</v>
      </c>
      <c r="X1113" s="2551"/>
      <c r="Y1113" s="2509"/>
      <c r="Z1113" s="2509"/>
      <c r="AA1113" s="6"/>
      <c r="AB1113" s="6"/>
      <c r="AC1113" s="6"/>
      <c r="AD1113" s="6"/>
      <c r="AE1113" s="6"/>
    </row>
    <row r="1114" spans="1:31" s="19" customFormat="1" ht="18.75">
      <c r="A1114" s="140">
        <v>7</v>
      </c>
      <c r="B1114" s="83"/>
      <c r="C1114" s="126" t="str">
        <f>C553</f>
        <v>Исследование центральной гиподинамики</v>
      </c>
      <c r="D1114" s="126"/>
      <c r="E1114" s="126"/>
      <c r="F1114" s="126"/>
      <c r="G1114" s="126"/>
      <c r="H1114" s="126"/>
      <c r="I1114" s="41" t="s">
        <v>573</v>
      </c>
      <c r="J1114" s="1183">
        <v>110400</v>
      </c>
      <c r="K1114" s="1365">
        <f aca="true" t="shared" si="146" ref="K1114:K1120">K553</f>
        <v>0.192</v>
      </c>
      <c r="L1114" s="1366">
        <f aca="true" t="shared" si="147" ref="L1114:L1120">SUM(J1114:K1114)</f>
        <v>110400.192</v>
      </c>
      <c r="M1114" s="1486">
        <f aca="true" t="shared" si="148" ref="M1114:M1120">J1114/10000</f>
        <v>11.04</v>
      </c>
      <c r="N1114" s="1501">
        <f aca="true" t="shared" si="149" ref="N1114:N1120">N553</f>
        <v>0.192</v>
      </c>
      <c r="O1114" s="1453">
        <f aca="true" t="shared" si="150" ref="O1114:O1120">SUM(M1114:N1114)</f>
        <v>11.232</v>
      </c>
      <c r="P1114" s="22"/>
      <c r="Q1114" s="6"/>
      <c r="R1114" s="2509"/>
      <c r="S1114" s="2509"/>
      <c r="T1114" s="2509"/>
      <c r="U1114" s="2509"/>
      <c r="V1114" s="2509"/>
      <c r="W1114" s="2523">
        <f t="shared" si="140"/>
        <v>110400</v>
      </c>
      <c r="X1114" s="2551">
        <v>92000</v>
      </c>
      <c r="Y1114" s="2509"/>
      <c r="Z1114" s="2509"/>
      <c r="AA1114" s="6"/>
      <c r="AB1114" s="6"/>
      <c r="AC1114" s="6"/>
      <c r="AD1114" s="6"/>
      <c r="AE1114" s="6"/>
    </row>
    <row r="1115" spans="1:31" s="19" customFormat="1" ht="18.75">
      <c r="A1115" s="140">
        <v>8</v>
      </c>
      <c r="B1115" s="83"/>
      <c r="C1115" s="2197" t="s">
        <v>149</v>
      </c>
      <c r="D1115" s="2197"/>
      <c r="E1115" s="2197"/>
      <c r="F1115" s="2197"/>
      <c r="G1115" s="2197"/>
      <c r="H1115" s="2197"/>
      <c r="I1115" s="497" t="s">
        <v>573</v>
      </c>
      <c r="J1115" s="1183">
        <v>82600</v>
      </c>
      <c r="K1115" s="1365">
        <f t="shared" si="146"/>
        <v>0.3915</v>
      </c>
      <c r="L1115" s="1366">
        <f t="shared" si="147"/>
        <v>82600.3915</v>
      </c>
      <c r="M1115" s="1486">
        <f t="shared" si="148"/>
        <v>8.26</v>
      </c>
      <c r="N1115" s="1501">
        <f t="shared" si="149"/>
        <v>0.3915</v>
      </c>
      <c r="O1115" s="1453">
        <f t="shared" si="150"/>
        <v>8.6515</v>
      </c>
      <c r="P1115" s="22"/>
      <c r="Q1115" s="6"/>
      <c r="R1115" s="2509"/>
      <c r="S1115" s="2509"/>
      <c r="T1115" s="2509"/>
      <c r="U1115" s="2509"/>
      <c r="V1115" s="2509"/>
      <c r="W1115" s="2523">
        <f t="shared" si="140"/>
        <v>82560</v>
      </c>
      <c r="X1115" s="2551">
        <v>68800</v>
      </c>
      <c r="Y1115" s="2509"/>
      <c r="Z1115" s="2509"/>
      <c r="AA1115" s="6"/>
      <c r="AB1115" s="6"/>
      <c r="AC1115" s="6"/>
      <c r="AD1115" s="6"/>
      <c r="AE1115" s="6"/>
    </row>
    <row r="1116" spans="1:31" s="19" customFormat="1" ht="18.75">
      <c r="A1116" s="140">
        <v>9</v>
      </c>
      <c r="B1116" s="83"/>
      <c r="C1116" s="2197" t="s">
        <v>150</v>
      </c>
      <c r="D1116" s="2197"/>
      <c r="E1116" s="2197"/>
      <c r="F1116" s="2197"/>
      <c r="G1116" s="2197"/>
      <c r="H1116" s="2197"/>
      <c r="I1116" s="497" t="s">
        <v>573</v>
      </c>
      <c r="J1116" s="1183">
        <v>17900</v>
      </c>
      <c r="K1116" s="1365">
        <f t="shared" si="146"/>
        <v>0.2315</v>
      </c>
      <c r="L1116" s="1366">
        <f t="shared" si="147"/>
        <v>17900.2315</v>
      </c>
      <c r="M1116" s="1486">
        <f t="shared" si="148"/>
        <v>1.79</v>
      </c>
      <c r="N1116" s="1501">
        <f t="shared" si="149"/>
        <v>0.2315</v>
      </c>
      <c r="O1116" s="1453">
        <f t="shared" si="150"/>
        <v>2.0215</v>
      </c>
      <c r="P1116" s="22"/>
      <c r="Q1116" s="6"/>
      <c r="R1116" s="2509"/>
      <c r="S1116" s="2509"/>
      <c r="T1116" s="2509"/>
      <c r="U1116" s="2509"/>
      <c r="V1116" s="2509"/>
      <c r="W1116" s="2523">
        <f t="shared" si="140"/>
        <v>17880</v>
      </c>
      <c r="X1116" s="2551">
        <v>14900</v>
      </c>
      <c r="Y1116" s="2509"/>
      <c r="Z1116" s="2509"/>
      <c r="AA1116" s="6"/>
      <c r="AB1116" s="6"/>
      <c r="AC1116" s="6"/>
      <c r="AD1116" s="6"/>
      <c r="AE1116" s="6"/>
    </row>
    <row r="1117" spans="1:31" s="19" customFormat="1" ht="18.75">
      <c r="A1117" s="140">
        <v>10</v>
      </c>
      <c r="B1117" s="83"/>
      <c r="C1117" s="2197" t="s">
        <v>115</v>
      </c>
      <c r="D1117" s="2197"/>
      <c r="E1117" s="2197"/>
      <c r="F1117" s="2197"/>
      <c r="G1117" s="2197"/>
      <c r="H1117" s="2197"/>
      <c r="I1117" s="497" t="s">
        <v>573</v>
      </c>
      <c r="J1117" s="1183">
        <v>99800</v>
      </c>
      <c r="K1117" s="1365">
        <f t="shared" si="146"/>
        <v>0.4115</v>
      </c>
      <c r="L1117" s="1366">
        <f t="shared" si="147"/>
        <v>99800.4115</v>
      </c>
      <c r="M1117" s="1502">
        <f t="shared" si="148"/>
        <v>9.98</v>
      </c>
      <c r="N1117" s="1501">
        <f t="shared" si="149"/>
        <v>0.4115</v>
      </c>
      <c r="O1117" s="1453">
        <f t="shared" si="150"/>
        <v>10.3915</v>
      </c>
      <c r="P1117" s="22"/>
      <c r="Q1117" s="6"/>
      <c r="R1117" s="2509"/>
      <c r="S1117" s="2509"/>
      <c r="T1117" s="2509"/>
      <c r="U1117" s="2509"/>
      <c r="V1117" s="2509"/>
      <c r="W1117" s="2523">
        <f t="shared" si="140"/>
        <v>99840</v>
      </c>
      <c r="X1117" s="2551">
        <v>83200</v>
      </c>
      <c r="Y1117" s="2509"/>
      <c r="Z1117" s="2509"/>
      <c r="AA1117" s="6"/>
      <c r="AB1117" s="6"/>
      <c r="AC1117" s="6"/>
      <c r="AD1117" s="6"/>
      <c r="AE1117" s="6"/>
    </row>
    <row r="1118" spans="1:31" s="19" customFormat="1" ht="18.75">
      <c r="A1118" s="140">
        <v>11</v>
      </c>
      <c r="B1118" s="83"/>
      <c r="C1118" s="2197" t="s">
        <v>151</v>
      </c>
      <c r="D1118" s="2197"/>
      <c r="E1118" s="2197"/>
      <c r="F1118" s="2197"/>
      <c r="G1118" s="2197"/>
      <c r="H1118" s="2197"/>
      <c r="I1118" s="497" t="s">
        <v>573</v>
      </c>
      <c r="J1118" s="1183">
        <v>124800</v>
      </c>
      <c r="K1118" s="1365">
        <f t="shared" si="146"/>
        <v>0.155</v>
      </c>
      <c r="L1118" s="1366">
        <f t="shared" si="147"/>
        <v>124800.155</v>
      </c>
      <c r="M1118" s="1502">
        <f t="shared" si="148"/>
        <v>12.48</v>
      </c>
      <c r="N1118" s="1501">
        <f t="shared" si="149"/>
        <v>0.155</v>
      </c>
      <c r="O1118" s="1453">
        <f t="shared" si="150"/>
        <v>12.635</v>
      </c>
      <c r="P1118" s="22"/>
      <c r="Q1118" s="6"/>
      <c r="R1118" s="2509"/>
      <c r="S1118" s="2509"/>
      <c r="T1118" s="2509"/>
      <c r="U1118" s="2509"/>
      <c r="V1118" s="2509"/>
      <c r="W1118" s="2523">
        <f t="shared" si="140"/>
        <v>124800</v>
      </c>
      <c r="X1118" s="2551">
        <v>104000</v>
      </c>
      <c r="Y1118" s="2509"/>
      <c r="Z1118" s="2509"/>
      <c r="AA1118" s="6"/>
      <c r="AB1118" s="6"/>
      <c r="AC1118" s="6"/>
      <c r="AD1118" s="6"/>
      <c r="AE1118" s="6"/>
    </row>
    <row r="1119" spans="1:31" s="19" customFormat="1" ht="18.75">
      <c r="A1119" s="140">
        <v>12</v>
      </c>
      <c r="B1119" s="83"/>
      <c r="C1119" s="2197" t="s">
        <v>117</v>
      </c>
      <c r="D1119" s="2197"/>
      <c r="E1119" s="2197"/>
      <c r="F1119" s="2197"/>
      <c r="G1119" s="2197"/>
      <c r="H1119" s="2197"/>
      <c r="I1119" s="497" t="s">
        <v>573</v>
      </c>
      <c r="J1119" s="1183">
        <v>121700</v>
      </c>
      <c r="K1119" s="1365">
        <f t="shared" si="146"/>
        <v>0.18</v>
      </c>
      <c r="L1119" s="1366">
        <f t="shared" si="147"/>
        <v>121700.18</v>
      </c>
      <c r="M1119" s="1502">
        <f t="shared" si="148"/>
        <v>12.17</v>
      </c>
      <c r="N1119" s="1501">
        <f t="shared" si="149"/>
        <v>0.18</v>
      </c>
      <c r="O1119" s="1453">
        <f t="shared" si="150"/>
        <v>12.35</v>
      </c>
      <c r="P1119" s="22"/>
      <c r="Q1119" s="6"/>
      <c r="R1119" s="2509"/>
      <c r="S1119" s="2509"/>
      <c r="T1119" s="2509"/>
      <c r="U1119" s="2509"/>
      <c r="V1119" s="2509"/>
      <c r="W1119" s="2523">
        <f t="shared" si="140"/>
        <v>121680</v>
      </c>
      <c r="X1119" s="2551">
        <v>101400</v>
      </c>
      <c r="Y1119" s="2509"/>
      <c r="Z1119" s="2509"/>
      <c r="AA1119" s="6"/>
      <c r="AB1119" s="6"/>
      <c r="AC1119" s="6"/>
      <c r="AD1119" s="6"/>
      <c r="AE1119" s="6"/>
    </row>
    <row r="1120" spans="1:31" s="19" customFormat="1" ht="18.75">
      <c r="A1120" s="140">
        <v>13</v>
      </c>
      <c r="B1120" s="83"/>
      <c r="C1120" s="126" t="str">
        <f>C559</f>
        <v>Пневмотахометрия</v>
      </c>
      <c r="D1120" s="126"/>
      <c r="E1120" s="126"/>
      <c r="F1120" s="126"/>
      <c r="G1120" s="126"/>
      <c r="H1120" s="126"/>
      <c r="I1120" s="41" t="s">
        <v>573</v>
      </c>
      <c r="J1120" s="1183">
        <v>34900</v>
      </c>
      <c r="K1120" s="1365">
        <f t="shared" si="146"/>
        <v>0.03</v>
      </c>
      <c r="L1120" s="1366">
        <f t="shared" si="147"/>
        <v>34900.03</v>
      </c>
      <c r="M1120" s="1486">
        <f t="shared" si="148"/>
        <v>3.49</v>
      </c>
      <c r="N1120" s="1501">
        <f t="shared" si="149"/>
        <v>0.03</v>
      </c>
      <c r="O1120" s="1453">
        <f t="shared" si="150"/>
        <v>3.52</v>
      </c>
      <c r="P1120" s="22"/>
      <c r="Q1120" s="6"/>
      <c r="R1120" s="2509"/>
      <c r="S1120" s="2509"/>
      <c r="T1120" s="2509"/>
      <c r="U1120" s="2509"/>
      <c r="V1120" s="2509"/>
      <c r="W1120" s="2523">
        <f t="shared" si="140"/>
        <v>34920</v>
      </c>
      <c r="X1120" s="2551">
        <v>29100</v>
      </c>
      <c r="Y1120" s="2509"/>
      <c r="Z1120" s="2509"/>
      <c r="AA1120" s="6"/>
      <c r="AB1120" s="6"/>
      <c r="AC1120" s="6"/>
      <c r="AD1120" s="6"/>
      <c r="AE1120" s="6"/>
    </row>
    <row r="1121" spans="1:31" s="19" customFormat="1" ht="18.75">
      <c r="A1121" s="140">
        <v>14</v>
      </c>
      <c r="B1121" s="83"/>
      <c r="C1121" s="632" t="s">
        <v>400</v>
      </c>
      <c r="D1121" s="126"/>
      <c r="E1121" s="126"/>
      <c r="F1121" s="126"/>
      <c r="G1121" s="126"/>
      <c r="H1121" s="126"/>
      <c r="I1121" s="41"/>
      <c r="J1121" s="1183"/>
      <c r="K1121" s="1365"/>
      <c r="L1121" s="1366"/>
      <c r="M1121" s="1479"/>
      <c r="N1121" s="1501"/>
      <c r="O1121" s="1453"/>
      <c r="P1121" s="22"/>
      <c r="Q1121" s="6"/>
      <c r="R1121" s="2509"/>
      <c r="S1121" s="2509"/>
      <c r="T1121" s="2509"/>
      <c r="U1121" s="2509"/>
      <c r="V1121" s="2509"/>
      <c r="W1121" s="2523">
        <f t="shared" si="140"/>
        <v>0</v>
      </c>
      <c r="X1121" s="2551"/>
      <c r="Y1121" s="2509"/>
      <c r="Z1121" s="2509"/>
      <c r="AA1121" s="6"/>
      <c r="AB1121" s="6"/>
      <c r="AC1121" s="6"/>
      <c r="AD1121" s="6"/>
      <c r="AE1121" s="6"/>
    </row>
    <row r="1122" spans="1:31" s="19" customFormat="1" ht="18.75">
      <c r="A1122" s="140"/>
      <c r="B1122" s="83"/>
      <c r="C1122" s="632" t="s">
        <v>401</v>
      </c>
      <c r="D1122" s="126"/>
      <c r="E1122" s="126"/>
      <c r="F1122" s="126"/>
      <c r="G1122" s="126"/>
      <c r="H1122" s="126"/>
      <c r="I1122" s="41" t="s">
        <v>573</v>
      </c>
      <c r="J1122" s="1183">
        <v>446200</v>
      </c>
      <c r="K1122" s="1365">
        <f>K1120</f>
        <v>0.03</v>
      </c>
      <c r="L1122" s="1366">
        <f>SUM(J1122:K1122)</f>
        <v>446200.03</v>
      </c>
      <c r="M1122" s="1486">
        <f>J1122/10000</f>
        <v>44.62</v>
      </c>
      <c r="N1122" s="1501">
        <f>N1120</f>
        <v>0.03</v>
      </c>
      <c r="O1122" s="1453">
        <f>SUM(M1122:N1122)</f>
        <v>44.65</v>
      </c>
      <c r="P1122" s="22"/>
      <c r="Q1122" s="6"/>
      <c r="R1122" s="2509"/>
      <c r="S1122" s="2509"/>
      <c r="T1122" s="2509"/>
      <c r="U1122" s="2509"/>
      <c r="V1122" s="2509"/>
      <c r="W1122" s="2523">
        <f t="shared" si="140"/>
        <v>446160</v>
      </c>
      <c r="X1122" s="2551">
        <v>371800</v>
      </c>
      <c r="Y1122" s="2509"/>
      <c r="Z1122" s="2509"/>
      <c r="AA1122" s="6"/>
      <c r="AB1122" s="6"/>
      <c r="AC1122" s="6"/>
      <c r="AD1122" s="6"/>
      <c r="AE1122" s="6"/>
    </row>
    <row r="1123" spans="1:31" s="19" customFormat="1" ht="19.5" thickBot="1">
      <c r="A1123" s="128"/>
      <c r="B1123" s="131"/>
      <c r="C1123" s="1557" t="s">
        <v>507</v>
      </c>
      <c r="D1123" s="634"/>
      <c r="E1123" s="634"/>
      <c r="F1123" s="634"/>
      <c r="G1123" s="634"/>
      <c r="H1123" s="634"/>
      <c r="I1123" s="715"/>
      <c r="J1123" s="1181"/>
      <c r="K1123" s="1362"/>
      <c r="L1123" s="1353"/>
      <c r="M1123" s="1472"/>
      <c r="N1123" s="1500"/>
      <c r="O1123" s="1449"/>
      <c r="P1123" s="22"/>
      <c r="Q1123" s="6"/>
      <c r="R1123" s="2509"/>
      <c r="S1123" s="2509"/>
      <c r="T1123" s="2509"/>
      <c r="U1123" s="2509"/>
      <c r="V1123" s="2509"/>
      <c r="W1123" s="2523">
        <f t="shared" si="140"/>
        <v>0</v>
      </c>
      <c r="X1123" s="2543"/>
      <c r="Y1123" s="2509"/>
      <c r="Z1123" s="2509"/>
      <c r="AA1123" s="6"/>
      <c r="AB1123" s="6"/>
      <c r="AC1123" s="6"/>
      <c r="AD1123" s="6"/>
      <c r="AE1123" s="6"/>
    </row>
    <row r="1124" spans="1:31" s="19" customFormat="1" ht="18.75">
      <c r="A1124" s="11"/>
      <c r="B1124" s="83"/>
      <c r="C1124" s="17"/>
      <c r="D1124" s="3"/>
      <c r="E1124" s="3"/>
      <c r="F1124" s="10"/>
      <c r="G1124" s="10"/>
      <c r="H1124" s="10"/>
      <c r="I1124" s="41"/>
      <c r="J1124" s="1141"/>
      <c r="K1124" s="1360"/>
      <c r="L1124" s="1348"/>
      <c r="M1124" s="1462"/>
      <c r="N1124" s="1499"/>
      <c r="O1124" s="1440"/>
      <c r="P1124" s="22"/>
      <c r="Q1124" s="6"/>
      <c r="R1124" s="2509"/>
      <c r="S1124" s="2509"/>
      <c r="T1124" s="2509"/>
      <c r="U1124" s="2509"/>
      <c r="V1124" s="2509"/>
      <c r="W1124" s="2523">
        <f t="shared" si="140"/>
        <v>0</v>
      </c>
      <c r="X1124" s="2543"/>
      <c r="Y1124" s="2509"/>
      <c r="Z1124" s="2509"/>
      <c r="AA1124" s="6"/>
      <c r="AB1124" s="6"/>
      <c r="AC1124" s="6"/>
      <c r="AD1124" s="6"/>
      <c r="AE1124" s="6"/>
    </row>
    <row r="1125" spans="1:31" s="19" customFormat="1" ht="18">
      <c r="A1125" s="15">
        <v>13</v>
      </c>
      <c r="B1125" s="107" t="s">
        <v>761</v>
      </c>
      <c r="C1125" s="3"/>
      <c r="D1125" s="3"/>
      <c r="E1125" s="3"/>
      <c r="F1125" s="2"/>
      <c r="G1125" s="2"/>
      <c r="H1125" s="2"/>
      <c r="I1125" s="41"/>
      <c r="J1125" s="1141"/>
      <c r="K1125" s="1360"/>
      <c r="L1125" s="1363"/>
      <c r="M1125" s="1462"/>
      <c r="N1125" s="1499"/>
      <c r="O1125" s="1441"/>
      <c r="P1125" s="22"/>
      <c r="Q1125" s="6"/>
      <c r="R1125" s="2509"/>
      <c r="S1125" s="2509"/>
      <c r="T1125" s="2509"/>
      <c r="U1125" s="2509"/>
      <c r="V1125" s="2509"/>
      <c r="W1125" s="2523">
        <f t="shared" si="140"/>
        <v>0</v>
      </c>
      <c r="X1125" s="2543"/>
      <c r="Y1125" s="2509"/>
      <c r="Z1125" s="2509"/>
      <c r="AA1125" s="6"/>
      <c r="AB1125" s="6"/>
      <c r="AC1125" s="6"/>
      <c r="AD1125" s="6"/>
      <c r="AE1125" s="6"/>
    </row>
    <row r="1126" spans="1:31" s="19" customFormat="1" ht="18.75">
      <c r="A1126" s="15"/>
      <c r="B1126" s="1036" t="s">
        <v>235</v>
      </c>
      <c r="C1126" s="3"/>
      <c r="D1126" s="3"/>
      <c r="E1126" s="3"/>
      <c r="F1126" s="2"/>
      <c r="G1126" s="2"/>
      <c r="H1126" s="2"/>
      <c r="I1126" s="41"/>
      <c r="J1126" s="1141"/>
      <c r="K1126" s="1360"/>
      <c r="L1126" s="1363"/>
      <c r="M1126" s="1462"/>
      <c r="N1126" s="1499"/>
      <c r="O1126" s="1441"/>
      <c r="P1126" s="22"/>
      <c r="Q1126" s="6"/>
      <c r="R1126" s="2509"/>
      <c r="S1126" s="2509"/>
      <c r="T1126" s="2509"/>
      <c r="U1126" s="2509"/>
      <c r="V1126" s="2509"/>
      <c r="W1126" s="2523">
        <f t="shared" si="140"/>
        <v>0</v>
      </c>
      <c r="X1126" s="2543"/>
      <c r="Y1126" s="2509"/>
      <c r="Z1126" s="2509"/>
      <c r="AA1126" s="6"/>
      <c r="AB1126" s="6"/>
      <c r="AC1126" s="6"/>
      <c r="AD1126" s="6"/>
      <c r="AE1126" s="6"/>
    </row>
    <row r="1127" spans="1:31" s="19" customFormat="1" ht="18">
      <c r="A1127" s="100" t="s">
        <v>316</v>
      </c>
      <c r="B1127" s="107"/>
      <c r="C1127" s="635" t="s">
        <v>200</v>
      </c>
      <c r="D1127" s="3"/>
      <c r="E1127" s="3"/>
      <c r="F1127" s="2"/>
      <c r="G1127" s="2"/>
      <c r="H1127" s="2"/>
      <c r="I1127" s="41"/>
      <c r="J1127" s="1141"/>
      <c r="K1127" s="1360"/>
      <c r="L1127" s="1363"/>
      <c r="M1127" s="1462"/>
      <c r="N1127" s="1499"/>
      <c r="O1127" s="1441"/>
      <c r="P1127" s="22"/>
      <c r="Q1127" s="6"/>
      <c r="R1127" s="2509"/>
      <c r="S1127" s="2509"/>
      <c r="T1127" s="2509"/>
      <c r="U1127" s="2509"/>
      <c r="V1127" s="2509"/>
      <c r="W1127" s="2523">
        <f t="shared" si="140"/>
        <v>0</v>
      </c>
      <c r="X1127" s="2543"/>
      <c r="Y1127" s="2509"/>
      <c r="Z1127" s="2509"/>
      <c r="AA1127" s="6"/>
      <c r="AB1127" s="6"/>
      <c r="AC1127" s="6"/>
      <c r="AD1127" s="6"/>
      <c r="AE1127" s="6"/>
    </row>
    <row r="1128" spans="1:31" s="726" customFormat="1" ht="18.75">
      <c r="A1128" s="636">
        <v>1</v>
      </c>
      <c r="B1128" s="637"/>
      <c r="C1128" s="1558" t="s">
        <v>762</v>
      </c>
      <c r="D1128" s="639"/>
      <c r="E1128" s="639"/>
      <c r="F1128" s="724"/>
      <c r="G1128" s="724"/>
      <c r="H1128" s="724"/>
      <c r="I1128" s="672" t="s">
        <v>573</v>
      </c>
      <c r="J1128" s="1142">
        <v>545600</v>
      </c>
      <c r="K1128" s="1367">
        <f>K566</f>
        <v>5.6528</v>
      </c>
      <c r="L1128" s="1357">
        <f>SUM(J1128:K1128)</f>
        <v>545605.6528</v>
      </c>
      <c r="M1128" s="1486">
        <f>J1128/10000</f>
        <v>54.56</v>
      </c>
      <c r="N1128" s="1503">
        <f>N566</f>
        <v>5.6528</v>
      </c>
      <c r="O1128" s="1456">
        <f>SUM(M1128:N1128)</f>
        <v>60.2128</v>
      </c>
      <c r="P1128" s="673"/>
      <c r="Q1128" s="725"/>
      <c r="R1128" s="2516"/>
      <c r="S1128" s="2516"/>
      <c r="T1128" s="2516"/>
      <c r="U1128" s="2516"/>
      <c r="V1128" s="2516"/>
      <c r="W1128" s="2523">
        <f t="shared" si="140"/>
        <v>545640</v>
      </c>
      <c r="X1128" s="2543">
        <v>454700</v>
      </c>
      <c r="Y1128" s="2516"/>
      <c r="Z1128" s="2516"/>
      <c r="AA1128" s="725"/>
      <c r="AB1128" s="725"/>
      <c r="AC1128" s="725"/>
      <c r="AD1128" s="725"/>
      <c r="AE1128" s="725"/>
    </row>
    <row r="1129" spans="1:31" s="723" customFormat="1" ht="18.75">
      <c r="A1129" s="776"/>
      <c r="B1129" s="810"/>
      <c r="C1129" s="811" t="s">
        <v>314</v>
      </c>
      <c r="D1129" s="812"/>
      <c r="E1129" s="812"/>
      <c r="F1129" s="813"/>
      <c r="G1129" s="813"/>
      <c r="H1129" s="813"/>
      <c r="I1129" s="814" t="s">
        <v>573</v>
      </c>
      <c r="J1129" s="1184">
        <v>513500</v>
      </c>
      <c r="K1129" s="1368">
        <f>'[1]диагн.'!$G$862</f>
        <v>8.770000000000001</v>
      </c>
      <c r="L1129" s="1369">
        <f>SUM(J1129:K1129)</f>
        <v>513508.77</v>
      </c>
      <c r="M1129" s="1486">
        <f>J1129/10000</f>
        <v>51.35</v>
      </c>
      <c r="N1129" s="1504">
        <f>K1129</f>
        <v>8.770000000000001</v>
      </c>
      <c r="O1129" s="1458">
        <f>SUM(M1129:N1129)</f>
        <v>60.120000000000005</v>
      </c>
      <c r="P1129" s="729"/>
      <c r="Q1129" s="815"/>
      <c r="R1129" s="2516"/>
      <c r="S1129" s="2516"/>
      <c r="T1129" s="2516"/>
      <c r="U1129" s="2516"/>
      <c r="V1129" s="2516"/>
      <c r="W1129" s="2523">
        <f t="shared" si="140"/>
        <v>513480</v>
      </c>
      <c r="X1129" s="2543">
        <v>427900</v>
      </c>
      <c r="Y1129" s="2516"/>
      <c r="Z1129" s="2516"/>
      <c r="AA1129" s="722"/>
      <c r="AB1129" s="722"/>
      <c r="AC1129" s="722"/>
      <c r="AD1129" s="722"/>
      <c r="AE1129" s="722"/>
    </row>
    <row r="1130" spans="1:31" s="723" customFormat="1" ht="18.75">
      <c r="A1130" s="776"/>
      <c r="B1130" s="810"/>
      <c r="C1130" s="811" t="s">
        <v>315</v>
      </c>
      <c r="D1130" s="812"/>
      <c r="E1130" s="812"/>
      <c r="F1130" s="813"/>
      <c r="G1130" s="813"/>
      <c r="H1130" s="813"/>
      <c r="I1130" s="814" t="s">
        <v>573</v>
      </c>
      <c r="J1130" s="1184">
        <v>877200</v>
      </c>
      <c r="K1130" s="1368">
        <f>'[1]диагн.'!$G$876</f>
        <v>5.7700000000000005</v>
      </c>
      <c r="L1130" s="1369">
        <f>SUM(J1130:K1130)</f>
        <v>877205.77</v>
      </c>
      <c r="M1130" s="1486">
        <f>J1130/10000</f>
        <v>87.72</v>
      </c>
      <c r="N1130" s="1504">
        <f>K1130</f>
        <v>5.7700000000000005</v>
      </c>
      <c r="O1130" s="1458">
        <f>SUM(M1130:N1130)</f>
        <v>93.49</v>
      </c>
      <c r="P1130" s="729"/>
      <c r="Q1130" s="815"/>
      <c r="R1130" s="2516"/>
      <c r="S1130" s="2516"/>
      <c r="T1130" s="2516"/>
      <c r="U1130" s="2516"/>
      <c r="V1130" s="2516"/>
      <c r="W1130" s="2523">
        <f t="shared" si="140"/>
        <v>877200</v>
      </c>
      <c r="X1130" s="2543">
        <v>731000</v>
      </c>
      <c r="Y1130" s="2516"/>
      <c r="Z1130" s="2516"/>
      <c r="AA1130" s="722"/>
      <c r="AB1130" s="722"/>
      <c r="AC1130" s="722"/>
      <c r="AD1130" s="722"/>
      <c r="AE1130" s="722"/>
    </row>
    <row r="1131" spans="1:31" s="51" customFormat="1" ht="18">
      <c r="A1131" s="776"/>
      <c r="B1131" s="810"/>
      <c r="C1131" s="816" t="s">
        <v>763</v>
      </c>
      <c r="D1131" s="812"/>
      <c r="E1131" s="812"/>
      <c r="F1131" s="813"/>
      <c r="G1131" s="813"/>
      <c r="H1131" s="813"/>
      <c r="I1131" s="814"/>
      <c r="J1131" s="1184"/>
      <c r="K1131" s="1368"/>
      <c r="L1131" s="1370"/>
      <c r="M1131" s="1505"/>
      <c r="N1131" s="1504"/>
      <c r="O1131" s="1459"/>
      <c r="P1131" s="729"/>
      <c r="Q1131" s="815"/>
      <c r="R1131" s="2516"/>
      <c r="S1131" s="2516"/>
      <c r="T1131" s="2516"/>
      <c r="U1131" s="2516"/>
      <c r="V1131" s="2516"/>
      <c r="W1131" s="2523">
        <f t="shared" si="140"/>
        <v>0</v>
      </c>
      <c r="X1131" s="2543"/>
      <c r="Y1131" s="2516"/>
      <c r="Z1131" s="2516"/>
      <c r="AA1131" s="50"/>
      <c r="AB1131" s="50"/>
      <c r="AC1131" s="50"/>
      <c r="AD1131" s="50"/>
      <c r="AE1131" s="50"/>
    </row>
    <row r="1132" spans="1:31" s="51" customFormat="1" ht="18.75">
      <c r="A1132" s="776">
        <v>2</v>
      </c>
      <c r="B1132" s="810"/>
      <c r="C1132" s="811" t="s">
        <v>764</v>
      </c>
      <c r="D1132" s="812"/>
      <c r="E1132" s="812"/>
      <c r="F1132" s="813"/>
      <c r="G1132" s="813"/>
      <c r="H1132" s="813"/>
      <c r="I1132" s="814" t="s">
        <v>573</v>
      </c>
      <c r="J1132" s="1184">
        <v>140400</v>
      </c>
      <c r="K1132" s="1368">
        <f>K570</f>
        <v>0</v>
      </c>
      <c r="L1132" s="1369">
        <f>SUM(J1132:K1132)</f>
        <v>140400</v>
      </c>
      <c r="M1132" s="1486">
        <f>J1132/10000</f>
        <v>14.04</v>
      </c>
      <c r="N1132" s="1504">
        <f>K1132</f>
        <v>0</v>
      </c>
      <c r="O1132" s="1458">
        <f>SUM(M1132:N1132)</f>
        <v>14.04</v>
      </c>
      <c r="P1132" s="729"/>
      <c r="Q1132" s="815"/>
      <c r="R1132" s="2516"/>
      <c r="S1132" s="2516"/>
      <c r="T1132" s="2516"/>
      <c r="U1132" s="2516"/>
      <c r="V1132" s="2516"/>
      <c r="W1132" s="2523">
        <f t="shared" si="140"/>
        <v>140400</v>
      </c>
      <c r="X1132" s="2543">
        <v>117000</v>
      </c>
      <c r="Y1132" s="2516"/>
      <c r="Z1132" s="2516"/>
      <c r="AA1132" s="50"/>
      <c r="AB1132" s="50"/>
      <c r="AC1132" s="50"/>
      <c r="AD1132" s="50"/>
      <c r="AE1132" s="50"/>
    </row>
    <row r="1133" spans="1:31" s="9" customFormat="1" ht="18.75">
      <c r="A1133" s="11">
        <v>3</v>
      </c>
      <c r="B1133" s="67"/>
      <c r="C1133" s="632" t="s">
        <v>769</v>
      </c>
      <c r="D1133" s="3"/>
      <c r="E1133" s="3"/>
      <c r="F1133" s="10"/>
      <c r="G1133" s="10"/>
      <c r="H1133" s="10"/>
      <c r="I1133" s="41" t="s">
        <v>573</v>
      </c>
      <c r="J1133" s="1141">
        <v>140400</v>
      </c>
      <c r="K1133" s="1360">
        <v>0</v>
      </c>
      <c r="L1133" s="1348">
        <f>SUM(J1133:K1133)</f>
        <v>140400</v>
      </c>
      <c r="M1133" s="1486">
        <f>J1133/10000</f>
        <v>14.04</v>
      </c>
      <c r="N1133" s="1504">
        <f>K1133</f>
        <v>0</v>
      </c>
      <c r="O1133" s="1458">
        <f>SUM(M1133:N1133)</f>
        <v>14.04</v>
      </c>
      <c r="P1133" s="23"/>
      <c r="Q1133" s="53"/>
      <c r="R1133" s="2516"/>
      <c r="S1133" s="2516"/>
      <c r="T1133" s="2516"/>
      <c r="U1133" s="2516"/>
      <c r="V1133" s="2516"/>
      <c r="W1133" s="2523">
        <f t="shared" si="140"/>
        <v>140400</v>
      </c>
      <c r="X1133" s="2543">
        <v>117000</v>
      </c>
      <c r="Y1133" s="2516"/>
      <c r="Z1133" s="2516"/>
      <c r="AA1133" s="53"/>
      <c r="AB1133" s="53"/>
      <c r="AC1133" s="53"/>
      <c r="AD1133" s="53"/>
      <c r="AE1133" s="53"/>
    </row>
    <row r="1134" spans="1:31" s="9" customFormat="1" ht="18.75">
      <c r="A1134" s="100" t="s">
        <v>317</v>
      </c>
      <c r="B1134" s="67"/>
      <c r="C1134" s="635" t="s">
        <v>201</v>
      </c>
      <c r="D1134" s="3"/>
      <c r="E1134" s="3"/>
      <c r="F1134" s="10"/>
      <c r="G1134" s="10"/>
      <c r="H1134" s="10"/>
      <c r="I1134" s="41"/>
      <c r="J1134" s="1141"/>
      <c r="K1134" s="1360"/>
      <c r="L1134" s="1348"/>
      <c r="M1134" s="1462"/>
      <c r="N1134" s="1499"/>
      <c r="O1134" s="1440"/>
      <c r="P1134" s="23"/>
      <c r="Q1134" s="53"/>
      <c r="R1134" s="2516"/>
      <c r="S1134" s="2516"/>
      <c r="T1134" s="2516"/>
      <c r="U1134" s="2516"/>
      <c r="V1134" s="2516"/>
      <c r="W1134" s="2523">
        <f t="shared" si="140"/>
        <v>0</v>
      </c>
      <c r="X1134" s="2543"/>
      <c r="Y1134" s="2516"/>
      <c r="Z1134" s="2516"/>
      <c r="AA1134" s="53"/>
      <c r="AB1134" s="53"/>
      <c r="AC1134" s="53"/>
      <c r="AD1134" s="53"/>
      <c r="AE1134" s="53"/>
    </row>
    <row r="1135" spans="1:31" s="51" customFormat="1" ht="18.75">
      <c r="A1135" s="11">
        <v>1</v>
      </c>
      <c r="B1135" s="67"/>
      <c r="C1135" s="126" t="s">
        <v>762</v>
      </c>
      <c r="D1135" s="3"/>
      <c r="E1135" s="3"/>
      <c r="F1135" s="10"/>
      <c r="G1135" s="10"/>
      <c r="H1135" s="10"/>
      <c r="I1135" s="41" t="s">
        <v>573</v>
      </c>
      <c r="J1135" s="1141">
        <v>164000</v>
      </c>
      <c r="K1135" s="1360">
        <f>K1128</f>
        <v>5.6528</v>
      </c>
      <c r="L1135" s="1348">
        <f>SUM(J1135:K1135)</f>
        <v>164005.6528</v>
      </c>
      <c r="M1135" s="1486">
        <f>J1135/10000</f>
        <v>16.4</v>
      </c>
      <c r="N1135" s="1499">
        <f>N1128</f>
        <v>5.6528</v>
      </c>
      <c r="O1135" s="1440">
        <f>SUM(M1135:N1135)</f>
        <v>22.052799999999998</v>
      </c>
      <c r="P1135" s="22"/>
      <c r="Q1135" s="50"/>
      <c r="R1135" s="2516"/>
      <c r="S1135" s="2516"/>
      <c r="T1135" s="2516"/>
      <c r="U1135" s="2516"/>
      <c r="V1135" s="2516"/>
      <c r="W1135" s="2523">
        <f t="shared" si="140"/>
        <v>164040</v>
      </c>
      <c r="X1135" s="2543">
        <v>136700</v>
      </c>
      <c r="Y1135" s="2516"/>
      <c r="Z1135" s="2516"/>
      <c r="AA1135" s="50"/>
      <c r="AB1135" s="50"/>
      <c r="AC1135" s="50"/>
      <c r="AD1135" s="50"/>
      <c r="AE1135" s="50"/>
    </row>
    <row r="1136" spans="1:31" s="51" customFormat="1" ht="18.75">
      <c r="A1136" s="11"/>
      <c r="B1136" s="67"/>
      <c r="C1136" s="632" t="s">
        <v>314</v>
      </c>
      <c r="D1136" s="3"/>
      <c r="E1136" s="3"/>
      <c r="F1136" s="10"/>
      <c r="G1136" s="10"/>
      <c r="H1136" s="10"/>
      <c r="I1136" s="41" t="s">
        <v>573</v>
      </c>
      <c r="J1136" s="1141">
        <v>166400</v>
      </c>
      <c r="K1136" s="1360">
        <f>K1129</f>
        <v>8.770000000000001</v>
      </c>
      <c r="L1136" s="1348">
        <f>SUM(J1136:K1136)</f>
        <v>166408.77</v>
      </c>
      <c r="M1136" s="1486">
        <f>J1136/10000</f>
        <v>16.64</v>
      </c>
      <c r="N1136" s="1499">
        <f>N1129</f>
        <v>8.770000000000001</v>
      </c>
      <c r="O1136" s="1440">
        <f>SUM(M1136:N1136)</f>
        <v>25.410000000000004</v>
      </c>
      <c r="P1136" s="22"/>
      <c r="Q1136" s="50"/>
      <c r="R1136" s="2516"/>
      <c r="S1136" s="2516"/>
      <c r="T1136" s="2516"/>
      <c r="U1136" s="2516"/>
      <c r="V1136" s="2516"/>
      <c r="W1136" s="2523">
        <f t="shared" si="140"/>
        <v>166440</v>
      </c>
      <c r="X1136" s="2543">
        <v>138700</v>
      </c>
      <c r="Y1136" s="2516"/>
      <c r="Z1136" s="2516"/>
      <c r="AA1136" s="50"/>
      <c r="AB1136" s="50"/>
      <c r="AC1136" s="50"/>
      <c r="AD1136" s="50"/>
      <c r="AE1136" s="50"/>
    </row>
    <row r="1137" spans="1:31" s="51" customFormat="1" ht="18.75">
      <c r="A1137" s="11"/>
      <c r="B1137" s="67"/>
      <c r="C1137" s="632" t="s">
        <v>315</v>
      </c>
      <c r="D1137" s="3"/>
      <c r="E1137" s="3"/>
      <c r="F1137" s="10"/>
      <c r="G1137" s="10"/>
      <c r="H1137" s="10"/>
      <c r="I1137" s="41" t="s">
        <v>573</v>
      </c>
      <c r="J1137" s="1141">
        <v>263800</v>
      </c>
      <c r="K1137" s="1360">
        <f>K1130</f>
        <v>5.7700000000000005</v>
      </c>
      <c r="L1137" s="1348">
        <f>SUM(J1137:K1137)</f>
        <v>263805.77</v>
      </c>
      <c r="M1137" s="1486">
        <f>J1137/10000</f>
        <v>26.38</v>
      </c>
      <c r="N1137" s="1499">
        <f>N1130</f>
        <v>5.7700000000000005</v>
      </c>
      <c r="O1137" s="1440">
        <f>SUM(M1137:N1137)</f>
        <v>32.15</v>
      </c>
      <c r="P1137" s="22"/>
      <c r="Q1137" s="50"/>
      <c r="R1137" s="2516"/>
      <c r="S1137" s="2516"/>
      <c r="T1137" s="2516"/>
      <c r="U1137" s="2516"/>
      <c r="V1137" s="2516"/>
      <c r="W1137" s="2523">
        <f t="shared" si="140"/>
        <v>263760</v>
      </c>
      <c r="X1137" s="2543">
        <v>219800</v>
      </c>
      <c r="Y1137" s="2516"/>
      <c r="Z1137" s="2516"/>
      <c r="AA1137" s="50"/>
      <c r="AB1137" s="50"/>
      <c r="AC1137" s="50"/>
      <c r="AD1137" s="50"/>
      <c r="AE1137" s="50"/>
    </row>
    <row r="1138" spans="1:31" s="51" customFormat="1" ht="18">
      <c r="A1138" s="11"/>
      <c r="B1138" s="67"/>
      <c r="C1138" s="1531" t="s">
        <v>763</v>
      </c>
      <c r="D1138" s="3"/>
      <c r="E1138" s="3"/>
      <c r="F1138" s="10"/>
      <c r="G1138" s="10"/>
      <c r="H1138" s="10"/>
      <c r="I1138" s="41"/>
      <c r="J1138" s="1141"/>
      <c r="K1138" s="1360"/>
      <c r="L1138" s="1363"/>
      <c r="M1138" s="1462"/>
      <c r="N1138" s="1499"/>
      <c r="O1138" s="1441"/>
      <c r="P1138" s="22"/>
      <c r="Q1138" s="50"/>
      <c r="R1138" s="2516"/>
      <c r="S1138" s="2516"/>
      <c r="T1138" s="2516"/>
      <c r="U1138" s="2516"/>
      <c r="V1138" s="2516"/>
      <c r="W1138" s="2523">
        <f t="shared" si="140"/>
        <v>0</v>
      </c>
      <c r="X1138" s="2543"/>
      <c r="Y1138" s="2516"/>
      <c r="Z1138" s="2516"/>
      <c r="AA1138" s="50"/>
      <c r="AB1138" s="50"/>
      <c r="AC1138" s="50"/>
      <c r="AD1138" s="50"/>
      <c r="AE1138" s="50"/>
    </row>
    <row r="1139" spans="1:31" s="51" customFormat="1" ht="18.75">
      <c r="A1139" s="11">
        <v>2</v>
      </c>
      <c r="B1139" s="67"/>
      <c r="C1139" s="632" t="s">
        <v>764</v>
      </c>
      <c r="D1139" s="3"/>
      <c r="E1139" s="3"/>
      <c r="F1139" s="10"/>
      <c r="G1139" s="10"/>
      <c r="H1139" s="10"/>
      <c r="I1139" s="41" t="s">
        <v>573</v>
      </c>
      <c r="J1139" s="1141">
        <v>42200</v>
      </c>
      <c r="K1139" s="1360">
        <f>K1132</f>
        <v>0</v>
      </c>
      <c r="L1139" s="1348">
        <f>SUM(J1139:K1139)</f>
        <v>42200</v>
      </c>
      <c r="M1139" s="1486">
        <f>J1139/10000</f>
        <v>4.22</v>
      </c>
      <c r="N1139" s="1499">
        <f>N1132</f>
        <v>0</v>
      </c>
      <c r="O1139" s="1440">
        <f>SUM(M1139:N1139)</f>
        <v>4.22</v>
      </c>
      <c r="P1139" s="22"/>
      <c r="Q1139" s="50"/>
      <c r="R1139" s="2516"/>
      <c r="S1139" s="2516"/>
      <c r="T1139" s="2516"/>
      <c r="U1139" s="2516"/>
      <c r="V1139" s="2516"/>
      <c r="W1139" s="2523">
        <f t="shared" si="140"/>
        <v>42240</v>
      </c>
      <c r="X1139" s="2543">
        <v>35200</v>
      </c>
      <c r="Y1139" s="2516"/>
      <c r="Z1139" s="2516"/>
      <c r="AA1139" s="50"/>
      <c r="AB1139" s="50"/>
      <c r="AC1139" s="50"/>
      <c r="AD1139" s="50"/>
      <c r="AE1139" s="50"/>
    </row>
    <row r="1140" spans="1:31" s="9" customFormat="1" ht="18.75">
      <c r="A1140" s="11">
        <v>3</v>
      </c>
      <c r="B1140" s="67"/>
      <c r="C1140" s="632" t="s">
        <v>769</v>
      </c>
      <c r="D1140" s="3"/>
      <c r="E1140" s="3"/>
      <c r="F1140" s="10"/>
      <c r="G1140" s="10"/>
      <c r="H1140" s="10"/>
      <c r="I1140" s="41" t="s">
        <v>573</v>
      </c>
      <c r="J1140" s="1141">
        <v>42200</v>
      </c>
      <c r="K1140" s="1360">
        <f>K1133</f>
        <v>0</v>
      </c>
      <c r="L1140" s="1348">
        <f>SUM(J1140:K1140)</f>
        <v>42200</v>
      </c>
      <c r="M1140" s="1486">
        <f>J1140/10000</f>
        <v>4.22</v>
      </c>
      <c r="N1140" s="1499">
        <f>N1133</f>
        <v>0</v>
      </c>
      <c r="O1140" s="1440">
        <f>SUM(M1140:N1140)</f>
        <v>4.22</v>
      </c>
      <c r="P1140" s="23"/>
      <c r="Q1140" s="53"/>
      <c r="R1140" s="2516"/>
      <c r="S1140" s="2516"/>
      <c r="T1140" s="2516"/>
      <c r="U1140" s="2516"/>
      <c r="V1140" s="2516"/>
      <c r="W1140" s="2523">
        <f t="shared" si="140"/>
        <v>42240</v>
      </c>
      <c r="X1140" s="2543">
        <v>35200</v>
      </c>
      <c r="Y1140" s="2516"/>
      <c r="Z1140" s="2516"/>
      <c r="AA1140" s="53"/>
      <c r="AB1140" s="53"/>
      <c r="AC1140" s="53"/>
      <c r="AD1140" s="53"/>
      <c r="AE1140" s="53"/>
    </row>
    <row r="1141" spans="1:31" s="9" customFormat="1" ht="18">
      <c r="A1141" s="13"/>
      <c r="B1141" s="108"/>
      <c r="C1141" s="109"/>
      <c r="D1141" s="14"/>
      <c r="E1141" s="14"/>
      <c r="F1141" s="14"/>
      <c r="G1141" s="14"/>
      <c r="H1141" s="14"/>
      <c r="I1141" s="715"/>
      <c r="J1141" s="1143"/>
      <c r="K1141" s="1362"/>
      <c r="L1141" s="1371"/>
      <c r="M1141" s="1506"/>
      <c r="N1141" s="1500"/>
      <c r="O1141" s="1460"/>
      <c r="P1141" s="23"/>
      <c r="Q1141" s="53"/>
      <c r="R1141" s="2516"/>
      <c r="S1141" s="2516"/>
      <c r="T1141" s="2516"/>
      <c r="U1141" s="2516"/>
      <c r="V1141" s="2516"/>
      <c r="W1141" s="2523">
        <f t="shared" si="140"/>
        <v>0</v>
      </c>
      <c r="X1141" s="2543"/>
      <c r="Y1141" s="2516"/>
      <c r="Z1141" s="2516"/>
      <c r="AA1141" s="53"/>
      <c r="AB1141" s="53"/>
      <c r="AC1141" s="53"/>
      <c r="AD1141" s="53"/>
      <c r="AE1141" s="53"/>
    </row>
    <row r="1142" spans="1:31" s="9" customFormat="1" ht="18">
      <c r="A1142" s="42"/>
      <c r="B1142" s="43"/>
      <c r="C1142" s="26"/>
      <c r="D1142" s="2"/>
      <c r="E1142" s="2"/>
      <c r="F1142" s="2"/>
      <c r="G1142" s="2"/>
      <c r="H1142" s="2"/>
      <c r="I1142" s="41"/>
      <c r="J1142" s="1133"/>
      <c r="K1142" s="1360"/>
      <c r="L1142" s="1372"/>
      <c r="M1142" s="1484"/>
      <c r="N1142" s="1499"/>
      <c r="O1142" s="1445"/>
      <c r="P1142" s="23"/>
      <c r="Q1142" s="53"/>
      <c r="R1142" s="2516"/>
      <c r="S1142" s="2516"/>
      <c r="T1142" s="2516"/>
      <c r="U1142" s="2516"/>
      <c r="V1142" s="2516"/>
      <c r="W1142" s="2523">
        <f aca="true" t="shared" si="151" ref="W1142:W1205">X1142*1.2</f>
        <v>0</v>
      </c>
      <c r="X1142" s="2543"/>
      <c r="Y1142" s="2516"/>
      <c r="Z1142" s="2516"/>
      <c r="AA1142" s="53"/>
      <c r="AB1142" s="53"/>
      <c r="AC1142" s="53"/>
      <c r="AD1142" s="53"/>
      <c r="AE1142" s="53"/>
    </row>
    <row r="1143" spans="1:31" s="9" customFormat="1" ht="18.75">
      <c r="A1143" s="15">
        <v>14</v>
      </c>
      <c r="B1143" s="145" t="s">
        <v>180</v>
      </c>
      <c r="C1143" s="44"/>
      <c r="D1143" s="36"/>
      <c r="E1143" s="36"/>
      <c r="F1143" s="36"/>
      <c r="G1143" s="36"/>
      <c r="H1143" s="36"/>
      <c r="I1143" s="41"/>
      <c r="J1143" s="1133"/>
      <c r="K1143" s="1360"/>
      <c r="L1143" s="1373"/>
      <c r="M1143" s="1484"/>
      <c r="N1143" s="1499"/>
      <c r="O1143" s="1447"/>
      <c r="P1143" s="23"/>
      <c r="Q1143" s="53"/>
      <c r="R1143" s="2516"/>
      <c r="S1143" s="2516"/>
      <c r="T1143" s="2516"/>
      <c r="U1143" s="2516"/>
      <c r="V1143" s="2516"/>
      <c r="W1143" s="2523">
        <f t="shared" si="151"/>
        <v>0</v>
      </c>
      <c r="X1143" s="2543"/>
      <c r="Y1143" s="2516"/>
      <c r="Z1143" s="2516"/>
      <c r="AA1143" s="53"/>
      <c r="AB1143" s="53"/>
      <c r="AC1143" s="53"/>
      <c r="AD1143" s="53"/>
      <c r="AE1143" s="53"/>
    </row>
    <row r="1144" spans="1:31" s="9" customFormat="1" ht="18">
      <c r="A1144" s="32"/>
      <c r="B1144" s="45"/>
      <c r="C1144" s="1538" t="s">
        <v>530</v>
      </c>
      <c r="D1144" s="126"/>
      <c r="E1144" s="126"/>
      <c r="F1144" s="126"/>
      <c r="G1144" s="126"/>
      <c r="H1144" s="126"/>
      <c r="I1144" s="41"/>
      <c r="J1144" s="1133"/>
      <c r="K1144" s="1360"/>
      <c r="L1144" s="1373"/>
      <c r="M1144" s="1484"/>
      <c r="N1144" s="1499"/>
      <c r="O1144" s="1447"/>
      <c r="P1144" s="23"/>
      <c r="Q1144" s="53"/>
      <c r="R1144" s="2516"/>
      <c r="S1144" s="2516"/>
      <c r="T1144" s="2516"/>
      <c r="U1144" s="2516"/>
      <c r="V1144" s="2516"/>
      <c r="W1144" s="2523">
        <f t="shared" si="151"/>
        <v>0</v>
      </c>
      <c r="X1144" s="2543"/>
      <c r="Y1144" s="2516"/>
      <c r="Z1144" s="2516"/>
      <c r="AA1144" s="53"/>
      <c r="AB1144" s="53"/>
      <c r="AC1144" s="53"/>
      <c r="AD1144" s="53"/>
      <c r="AE1144" s="53"/>
    </row>
    <row r="1145" spans="1:31" s="9" customFormat="1" ht="18.75">
      <c r="A1145" s="24">
        <v>1</v>
      </c>
      <c r="B1145" s="45"/>
      <c r="C1145" s="2197" t="s">
        <v>531</v>
      </c>
      <c r="D1145" s="2197"/>
      <c r="E1145" s="2197"/>
      <c r="F1145" s="2197"/>
      <c r="G1145" s="2197"/>
      <c r="H1145" s="2197"/>
      <c r="I1145" s="41" t="s">
        <v>532</v>
      </c>
      <c r="J1145" s="1141">
        <v>101900</v>
      </c>
      <c r="K1145" s="1360">
        <f>K94</f>
        <v>0.8385</v>
      </c>
      <c r="L1145" s="1348">
        <f>SUM(J1145:K1145)</f>
        <v>101900.8385</v>
      </c>
      <c r="M1145" s="1486">
        <f>J1145/10000</f>
        <v>10.19</v>
      </c>
      <c r="N1145" s="1499">
        <f>N94</f>
        <v>0.8385</v>
      </c>
      <c r="O1145" s="1440">
        <f>SUM(M1145:N1145)</f>
        <v>11.0285</v>
      </c>
      <c r="P1145" s="23"/>
      <c r="Q1145" s="53"/>
      <c r="R1145" s="2516"/>
      <c r="S1145" s="2516"/>
      <c r="T1145" s="2516"/>
      <c r="U1145" s="2516"/>
      <c r="V1145" s="2516"/>
      <c r="W1145" s="2523">
        <f t="shared" si="151"/>
        <v>101880</v>
      </c>
      <c r="X1145" s="2543">
        <v>84900</v>
      </c>
      <c r="Y1145" s="2516"/>
      <c r="Z1145" s="2516"/>
      <c r="AA1145" s="53"/>
      <c r="AB1145" s="53"/>
      <c r="AC1145" s="53"/>
      <c r="AD1145" s="53"/>
      <c r="AE1145" s="53"/>
    </row>
    <row r="1146" spans="1:31" s="9" customFormat="1" ht="18.75">
      <c r="A1146" s="24"/>
      <c r="B1146" s="45"/>
      <c r="C1146" s="2197"/>
      <c r="D1146" s="2197"/>
      <c r="E1146" s="2197"/>
      <c r="F1146" s="2197"/>
      <c r="G1146" s="2197"/>
      <c r="H1146" s="2197"/>
      <c r="I1146" s="41"/>
      <c r="J1146" s="1141"/>
      <c r="K1146" s="1360"/>
      <c r="L1146" s="1348"/>
      <c r="M1146" s="1462"/>
      <c r="N1146" s="1499"/>
      <c r="O1146" s="1440"/>
      <c r="P1146" s="23"/>
      <c r="Q1146" s="53"/>
      <c r="R1146" s="2516"/>
      <c r="S1146" s="2516"/>
      <c r="T1146" s="2516"/>
      <c r="U1146" s="2516"/>
      <c r="V1146" s="2516"/>
      <c r="W1146" s="2523">
        <f t="shared" si="151"/>
        <v>0</v>
      </c>
      <c r="X1146" s="2543"/>
      <c r="Y1146" s="2516"/>
      <c r="Z1146" s="2516"/>
      <c r="AA1146" s="53"/>
      <c r="AB1146" s="53"/>
      <c r="AC1146" s="53"/>
      <c r="AD1146" s="53"/>
      <c r="AE1146" s="53"/>
    </row>
    <row r="1147" spans="1:31" s="9" customFormat="1" ht="18.75">
      <c r="A1147" s="24">
        <v>2</v>
      </c>
      <c r="B1147" s="45"/>
      <c r="C1147" s="2197" t="s">
        <v>533</v>
      </c>
      <c r="D1147" s="2197"/>
      <c r="E1147" s="2197"/>
      <c r="F1147" s="2197"/>
      <c r="G1147" s="2197"/>
      <c r="H1147" s="2197"/>
      <c r="I1147" s="41" t="s">
        <v>532</v>
      </c>
      <c r="J1147" s="1141">
        <v>80400</v>
      </c>
      <c r="K1147" s="1360">
        <f>K96</f>
        <v>0.8160000000000001</v>
      </c>
      <c r="L1147" s="1348">
        <f>SUM(J1147:K1147)</f>
        <v>80400.816</v>
      </c>
      <c r="M1147" s="1486">
        <f>J1147/10000</f>
        <v>8.04</v>
      </c>
      <c r="N1147" s="1499">
        <f>N96</f>
        <v>0.8160000000000001</v>
      </c>
      <c r="O1147" s="1440">
        <f>SUM(M1147:N1147)</f>
        <v>8.856</v>
      </c>
      <c r="P1147" s="23"/>
      <c r="Q1147" s="53"/>
      <c r="R1147" s="2516"/>
      <c r="S1147" s="2516"/>
      <c r="T1147" s="2516"/>
      <c r="U1147" s="2516"/>
      <c r="V1147" s="2516"/>
      <c r="W1147" s="2523">
        <f t="shared" si="151"/>
        <v>80400</v>
      </c>
      <c r="X1147" s="2543">
        <v>67000</v>
      </c>
      <c r="Y1147" s="2516"/>
      <c r="Z1147" s="2516"/>
      <c r="AA1147" s="53"/>
      <c r="AB1147" s="53"/>
      <c r="AC1147" s="53"/>
      <c r="AD1147" s="53"/>
      <c r="AE1147" s="53"/>
    </row>
    <row r="1148" spans="1:31" s="9" customFormat="1" ht="18.75">
      <c r="A1148" s="24"/>
      <c r="B1148" s="45"/>
      <c r="C1148" s="2197"/>
      <c r="D1148" s="2197"/>
      <c r="E1148" s="2197"/>
      <c r="F1148" s="2197"/>
      <c r="G1148" s="2197"/>
      <c r="H1148" s="2197"/>
      <c r="I1148" s="41"/>
      <c r="J1148" s="1141"/>
      <c r="K1148" s="1360"/>
      <c r="L1148" s="1348"/>
      <c r="M1148" s="1462"/>
      <c r="N1148" s="1499"/>
      <c r="O1148" s="1440"/>
      <c r="P1148" s="23"/>
      <c r="Q1148" s="53"/>
      <c r="R1148" s="2516"/>
      <c r="S1148" s="2516"/>
      <c r="T1148" s="2516"/>
      <c r="U1148" s="2516"/>
      <c r="V1148" s="2516"/>
      <c r="W1148" s="2523">
        <f t="shared" si="151"/>
        <v>0</v>
      </c>
      <c r="X1148" s="2543"/>
      <c r="Y1148" s="2516"/>
      <c r="Z1148" s="2516"/>
      <c r="AA1148" s="53"/>
      <c r="AB1148" s="53"/>
      <c r="AC1148" s="53"/>
      <c r="AD1148" s="53"/>
      <c r="AE1148" s="53"/>
    </row>
    <row r="1149" spans="1:31" s="9" customFormat="1" ht="18.75">
      <c r="A1149" s="24">
        <v>3</v>
      </c>
      <c r="B1149" s="45"/>
      <c r="C1149" s="2197" t="s">
        <v>534</v>
      </c>
      <c r="D1149" s="2197"/>
      <c r="E1149" s="2197"/>
      <c r="F1149" s="2197"/>
      <c r="G1149" s="2197"/>
      <c r="H1149" s="2197"/>
      <c r="I1149" s="41" t="s">
        <v>532</v>
      </c>
      <c r="J1149" s="1141">
        <v>123400</v>
      </c>
      <c r="K1149" s="1360">
        <f>K98</f>
        <v>18900</v>
      </c>
      <c r="L1149" s="1348">
        <f>SUM(J1149:K1149)</f>
        <v>142300</v>
      </c>
      <c r="M1149" s="1486">
        <f>J1149/10000</f>
        <v>12.34</v>
      </c>
      <c r="N1149" s="1499">
        <f>N98</f>
        <v>1.89</v>
      </c>
      <c r="O1149" s="1440">
        <f>SUM(M1149:N1149)</f>
        <v>14.23</v>
      </c>
      <c r="P1149" s="23"/>
      <c r="Q1149" s="53"/>
      <c r="R1149" s="2516"/>
      <c r="S1149" s="2516"/>
      <c r="T1149" s="2516"/>
      <c r="U1149" s="2516"/>
      <c r="V1149" s="2516"/>
      <c r="W1149" s="2523">
        <f t="shared" si="151"/>
        <v>123360</v>
      </c>
      <c r="X1149" s="2543">
        <v>102800</v>
      </c>
      <c r="Y1149" s="2516"/>
      <c r="Z1149" s="2516"/>
      <c r="AA1149" s="53"/>
      <c r="AB1149" s="53"/>
      <c r="AC1149" s="53"/>
      <c r="AD1149" s="53"/>
      <c r="AE1149" s="53"/>
    </row>
    <row r="1150" spans="1:31" s="9" customFormat="1" ht="18.75">
      <c r="A1150" s="24"/>
      <c r="B1150" s="45"/>
      <c r="C1150" s="2197"/>
      <c r="D1150" s="2197"/>
      <c r="E1150" s="2197"/>
      <c r="F1150" s="2197"/>
      <c r="G1150" s="2197"/>
      <c r="H1150" s="2197"/>
      <c r="I1150" s="41"/>
      <c r="J1150" s="1141"/>
      <c r="K1150" s="1360"/>
      <c r="L1150" s="1348"/>
      <c r="M1150" s="1462"/>
      <c r="N1150" s="1499"/>
      <c r="O1150" s="1440"/>
      <c r="P1150" s="23"/>
      <c r="Q1150" s="53"/>
      <c r="R1150" s="2516"/>
      <c r="S1150" s="2516"/>
      <c r="T1150" s="2516"/>
      <c r="U1150" s="2516"/>
      <c r="V1150" s="2516"/>
      <c r="W1150" s="2523">
        <f t="shared" si="151"/>
        <v>0</v>
      </c>
      <c r="X1150" s="2543"/>
      <c r="Y1150" s="2516"/>
      <c r="Z1150" s="2516"/>
      <c r="AA1150" s="53"/>
      <c r="AB1150" s="53"/>
      <c r="AC1150" s="53"/>
      <c r="AD1150" s="53"/>
      <c r="AE1150" s="53"/>
    </row>
    <row r="1151" spans="1:31" s="9" customFormat="1" ht="18.75">
      <c r="A1151" s="24">
        <v>4</v>
      </c>
      <c r="B1151" s="45"/>
      <c r="C1151" s="2197" t="s">
        <v>536</v>
      </c>
      <c r="D1151" s="2197"/>
      <c r="E1151" s="2197"/>
      <c r="F1151" s="2197"/>
      <c r="G1151" s="2197"/>
      <c r="H1151" s="2197"/>
      <c r="I1151" s="41" t="s">
        <v>532</v>
      </c>
      <c r="J1151" s="1141">
        <v>101900</v>
      </c>
      <c r="K1151" s="1360">
        <f>K100</f>
        <v>1.4160000000000001</v>
      </c>
      <c r="L1151" s="1348">
        <f>SUM(J1151:K1151)</f>
        <v>101901.416</v>
      </c>
      <c r="M1151" s="1486">
        <f>J1151/10000</f>
        <v>10.19</v>
      </c>
      <c r="N1151" s="1499">
        <f>N100</f>
        <v>1.4160000000000001</v>
      </c>
      <c r="O1151" s="1440">
        <f>SUM(M1151:N1151)</f>
        <v>11.606</v>
      </c>
      <c r="P1151" s="23"/>
      <c r="Q1151" s="53"/>
      <c r="R1151" s="2516"/>
      <c r="S1151" s="2516"/>
      <c r="T1151" s="2516"/>
      <c r="U1151" s="2516"/>
      <c r="V1151" s="2516"/>
      <c r="W1151" s="2523">
        <f t="shared" si="151"/>
        <v>101880</v>
      </c>
      <c r="X1151" s="2543">
        <v>84900</v>
      </c>
      <c r="Y1151" s="2516"/>
      <c r="Z1151" s="2516"/>
      <c r="AA1151" s="53"/>
      <c r="AB1151" s="53"/>
      <c r="AC1151" s="53"/>
      <c r="AD1151" s="53"/>
      <c r="AE1151" s="53"/>
    </row>
    <row r="1152" spans="1:31" s="9" customFormat="1" ht="18.75">
      <c r="A1152" s="24"/>
      <c r="B1152" s="45"/>
      <c r="C1152" s="2197"/>
      <c r="D1152" s="2197"/>
      <c r="E1152" s="2197"/>
      <c r="F1152" s="2197"/>
      <c r="G1152" s="2197"/>
      <c r="H1152" s="2197"/>
      <c r="I1152" s="41"/>
      <c r="J1152" s="1141"/>
      <c r="K1152" s="1360"/>
      <c r="L1152" s="1348"/>
      <c r="M1152" s="1462"/>
      <c r="N1152" s="1499"/>
      <c r="O1152" s="1440"/>
      <c r="P1152" s="23"/>
      <c r="Q1152" s="53"/>
      <c r="R1152" s="2516"/>
      <c r="S1152" s="2516"/>
      <c r="T1152" s="2516"/>
      <c r="U1152" s="2516"/>
      <c r="V1152" s="2516"/>
      <c r="W1152" s="2523">
        <f t="shared" si="151"/>
        <v>0</v>
      </c>
      <c r="X1152" s="2543"/>
      <c r="Y1152" s="2516"/>
      <c r="Z1152" s="2516"/>
      <c r="AA1152" s="53"/>
      <c r="AB1152" s="53"/>
      <c r="AC1152" s="53"/>
      <c r="AD1152" s="53"/>
      <c r="AE1152" s="53"/>
    </row>
    <row r="1153" spans="1:31" s="9" customFormat="1" ht="18">
      <c r="A1153" s="24"/>
      <c r="B1153" s="45"/>
      <c r="C1153" s="1559" t="s">
        <v>508</v>
      </c>
      <c r="D1153" s="126"/>
      <c r="E1153" s="126"/>
      <c r="F1153" s="126"/>
      <c r="G1153" s="126"/>
      <c r="H1153" s="126"/>
      <c r="I1153" s="41"/>
      <c r="J1153" s="1141"/>
      <c r="K1153" s="1360"/>
      <c r="L1153" s="1363"/>
      <c r="M1153" s="1462"/>
      <c r="N1153" s="1499"/>
      <c r="O1153" s="1441"/>
      <c r="P1153" s="23"/>
      <c r="Q1153" s="53"/>
      <c r="R1153" s="2516"/>
      <c r="S1153" s="2516"/>
      <c r="T1153" s="2516"/>
      <c r="U1153" s="2516"/>
      <c r="V1153" s="2516"/>
      <c r="W1153" s="2523">
        <f t="shared" si="151"/>
        <v>0</v>
      </c>
      <c r="X1153" s="2543"/>
      <c r="Y1153" s="2516"/>
      <c r="Z1153" s="2516"/>
      <c r="AA1153" s="53"/>
      <c r="AB1153" s="53"/>
      <c r="AC1153" s="53"/>
      <c r="AD1153" s="53"/>
      <c r="AE1153" s="53"/>
    </row>
    <row r="1154" spans="1:31" s="9" customFormat="1" ht="18.75">
      <c r="A1154" s="24">
        <v>5</v>
      </c>
      <c r="B1154" s="45"/>
      <c r="C1154" s="126" t="s">
        <v>537</v>
      </c>
      <c r="D1154" s="126"/>
      <c r="E1154" s="126"/>
      <c r="F1154" s="126"/>
      <c r="G1154" s="126"/>
      <c r="H1154" s="126"/>
      <c r="I1154" s="41" t="s">
        <v>532</v>
      </c>
      <c r="J1154" s="1141">
        <v>98600</v>
      </c>
      <c r="K1154" s="1360">
        <f>K103</f>
        <v>0.8160000000000001</v>
      </c>
      <c r="L1154" s="1348">
        <f>SUM(J1154:K1154)</f>
        <v>98600.816</v>
      </c>
      <c r="M1154" s="1486">
        <f>J1154/10000</f>
        <v>9.86</v>
      </c>
      <c r="N1154" s="1499">
        <f>N103</f>
        <v>0.8160000000000001</v>
      </c>
      <c r="O1154" s="1440">
        <f>SUM(M1154:N1154)</f>
        <v>10.676</v>
      </c>
      <c r="P1154" s="23"/>
      <c r="Q1154" s="53"/>
      <c r="R1154" s="2516"/>
      <c r="S1154" s="2516"/>
      <c r="T1154" s="2516"/>
      <c r="U1154" s="2516"/>
      <c r="V1154" s="2516"/>
      <c r="W1154" s="2523">
        <f t="shared" si="151"/>
        <v>98640</v>
      </c>
      <c r="X1154" s="2543">
        <v>82200</v>
      </c>
      <c r="Y1154" s="2516"/>
      <c r="Z1154" s="2516"/>
      <c r="AA1154" s="53"/>
      <c r="AB1154" s="53"/>
      <c r="AC1154" s="53"/>
      <c r="AD1154" s="53"/>
      <c r="AE1154" s="53"/>
    </row>
    <row r="1155" spans="1:31" s="9" customFormat="1" ht="18.75">
      <c r="A1155" s="24">
        <v>6</v>
      </c>
      <c r="B1155" s="45"/>
      <c r="C1155" s="126" t="s">
        <v>538</v>
      </c>
      <c r="D1155" s="126"/>
      <c r="E1155" s="126"/>
      <c r="F1155" s="126"/>
      <c r="G1155" s="126"/>
      <c r="H1155" s="126"/>
      <c r="I1155" s="41" t="s">
        <v>532</v>
      </c>
      <c r="J1155" s="1141">
        <v>74000</v>
      </c>
      <c r="K1155" s="1360">
        <f>K104</f>
        <v>0.79</v>
      </c>
      <c r="L1155" s="1348">
        <f>SUM(J1155:K1155)</f>
        <v>74000.79</v>
      </c>
      <c r="M1155" s="1486">
        <f>J1155/10000</f>
        <v>7.4</v>
      </c>
      <c r="N1155" s="1499">
        <f>N104</f>
        <v>0.79</v>
      </c>
      <c r="O1155" s="1440">
        <f>SUM(M1155:N1155)</f>
        <v>8.190000000000001</v>
      </c>
      <c r="P1155" s="23"/>
      <c r="Q1155" s="53"/>
      <c r="R1155" s="2516"/>
      <c r="S1155" s="2516"/>
      <c r="T1155" s="2516"/>
      <c r="U1155" s="2516"/>
      <c r="V1155" s="2516"/>
      <c r="W1155" s="2523">
        <f t="shared" si="151"/>
        <v>74040</v>
      </c>
      <c r="X1155" s="2543">
        <v>61700</v>
      </c>
      <c r="Y1155" s="2516"/>
      <c r="Z1155" s="2516"/>
      <c r="AA1155" s="53"/>
      <c r="AB1155" s="53"/>
      <c r="AC1155" s="53"/>
      <c r="AD1155" s="53"/>
      <c r="AE1155" s="53"/>
    </row>
    <row r="1156" spans="1:31" s="9" customFormat="1" ht="18">
      <c r="A1156" s="24"/>
      <c r="B1156" s="45"/>
      <c r="C1156" s="1539" t="s">
        <v>539</v>
      </c>
      <c r="D1156" s="126"/>
      <c r="E1156" s="126"/>
      <c r="F1156" s="126"/>
      <c r="G1156" s="126"/>
      <c r="H1156" s="126"/>
      <c r="I1156" s="41"/>
      <c r="J1156" s="1141"/>
      <c r="K1156" s="1360"/>
      <c r="L1156" s="1363"/>
      <c r="M1156" s="1462"/>
      <c r="N1156" s="1499"/>
      <c r="O1156" s="1441"/>
      <c r="P1156" s="23"/>
      <c r="Q1156" s="53"/>
      <c r="R1156" s="2516"/>
      <c r="S1156" s="2516"/>
      <c r="T1156" s="2516"/>
      <c r="U1156" s="2516"/>
      <c r="V1156" s="2516"/>
      <c r="W1156" s="2523">
        <f t="shared" si="151"/>
        <v>0</v>
      </c>
      <c r="X1156" s="2543"/>
      <c r="Y1156" s="2516"/>
      <c r="Z1156" s="2516"/>
      <c r="AA1156" s="53"/>
      <c r="AB1156" s="53"/>
      <c r="AC1156" s="53"/>
      <c r="AD1156" s="53"/>
      <c r="AE1156" s="53"/>
    </row>
    <row r="1157" spans="1:31" s="9" customFormat="1" ht="18">
      <c r="A1157" s="24"/>
      <c r="B1157" s="45"/>
      <c r="C1157" s="1539" t="s">
        <v>540</v>
      </c>
      <c r="D1157" s="126"/>
      <c r="E1157" s="126"/>
      <c r="F1157" s="126"/>
      <c r="G1157" s="126"/>
      <c r="H1157" s="126"/>
      <c r="I1157" s="41"/>
      <c r="J1157" s="1141"/>
      <c r="K1157" s="1360"/>
      <c r="L1157" s="1363"/>
      <c r="M1157" s="1462"/>
      <c r="N1157" s="1499"/>
      <c r="O1157" s="1441"/>
      <c r="P1157" s="23"/>
      <c r="Q1157" s="53"/>
      <c r="R1157" s="2516"/>
      <c r="S1157" s="2516"/>
      <c r="T1157" s="2516"/>
      <c r="U1157" s="2516"/>
      <c r="V1157" s="2516"/>
      <c r="W1157" s="2523">
        <f t="shared" si="151"/>
        <v>0</v>
      </c>
      <c r="X1157" s="2543"/>
      <c r="Y1157" s="2516"/>
      <c r="Z1157" s="2516"/>
      <c r="AA1157" s="53"/>
      <c r="AB1157" s="53"/>
      <c r="AC1157" s="53"/>
      <c r="AD1157" s="53"/>
      <c r="AE1157" s="53"/>
    </row>
    <row r="1158" spans="1:31" s="9" customFormat="1" ht="18.75">
      <c r="A1158" s="24">
        <v>7</v>
      </c>
      <c r="B1158" s="45"/>
      <c r="C1158" s="2197" t="s">
        <v>541</v>
      </c>
      <c r="D1158" s="2197"/>
      <c r="E1158" s="2197"/>
      <c r="F1158" s="2197"/>
      <c r="G1158" s="2197"/>
      <c r="H1158" s="2197"/>
      <c r="I1158" s="41" t="s">
        <v>542</v>
      </c>
      <c r="J1158" s="1141">
        <v>30000</v>
      </c>
      <c r="K1158" s="1360">
        <f>K107</f>
        <v>0.8714000000000001</v>
      </c>
      <c r="L1158" s="1348">
        <f>SUM(J1158:K1158)</f>
        <v>30000.8714</v>
      </c>
      <c r="M1158" s="1486">
        <f>J1158/10000</f>
        <v>3</v>
      </c>
      <c r="N1158" s="1499">
        <f>N107</f>
        <v>0.8714000000000001</v>
      </c>
      <c r="O1158" s="1440">
        <f>SUM(M1158:N1158)</f>
        <v>3.8714</v>
      </c>
      <c r="P1158" s="23"/>
      <c r="Q1158" s="53"/>
      <c r="R1158" s="2516"/>
      <c r="S1158" s="2516"/>
      <c r="T1158" s="2516"/>
      <c r="U1158" s="2516"/>
      <c r="V1158" s="2516"/>
      <c r="W1158" s="2523">
        <f t="shared" si="151"/>
        <v>30000</v>
      </c>
      <c r="X1158" s="2543">
        <v>25000</v>
      </c>
      <c r="Y1158" s="2516"/>
      <c r="Z1158" s="2516"/>
      <c r="AA1158" s="53"/>
      <c r="AB1158" s="53"/>
      <c r="AC1158" s="53"/>
      <c r="AD1158" s="53"/>
      <c r="AE1158" s="53"/>
    </row>
    <row r="1159" spans="1:31" s="9" customFormat="1" ht="18.75">
      <c r="A1159" s="24"/>
      <c r="B1159" s="45"/>
      <c r="C1159" s="2197"/>
      <c r="D1159" s="2197"/>
      <c r="E1159" s="2197"/>
      <c r="F1159" s="2197"/>
      <c r="G1159" s="2197"/>
      <c r="H1159" s="2197"/>
      <c r="I1159" s="41"/>
      <c r="J1159" s="1141"/>
      <c r="K1159" s="1360"/>
      <c r="L1159" s="1348"/>
      <c r="M1159" s="1462"/>
      <c r="N1159" s="1499"/>
      <c r="O1159" s="1440"/>
      <c r="P1159" s="23"/>
      <c r="Q1159" s="53"/>
      <c r="R1159" s="2516"/>
      <c r="S1159" s="2516"/>
      <c r="T1159" s="2516"/>
      <c r="U1159" s="2516"/>
      <c r="V1159" s="2516"/>
      <c r="W1159" s="2523">
        <f t="shared" si="151"/>
        <v>0</v>
      </c>
      <c r="X1159" s="2543"/>
      <c r="Y1159" s="2516"/>
      <c r="Z1159" s="2516"/>
      <c r="AA1159" s="53"/>
      <c r="AB1159" s="53"/>
      <c r="AC1159" s="53"/>
      <c r="AD1159" s="53"/>
      <c r="AE1159" s="53"/>
    </row>
    <row r="1160" spans="1:31" s="9" customFormat="1" ht="18">
      <c r="A1160" s="24">
        <v>8</v>
      </c>
      <c r="B1160" s="45"/>
      <c r="C1160" s="2197" t="s">
        <v>543</v>
      </c>
      <c r="D1160" s="2197"/>
      <c r="E1160" s="2197"/>
      <c r="F1160" s="2197"/>
      <c r="G1160" s="2197"/>
      <c r="H1160" s="2197"/>
      <c r="I1160" s="41"/>
      <c r="J1160" s="1141"/>
      <c r="K1160" s="1360"/>
      <c r="L1160" s="1363"/>
      <c r="M1160" s="1462"/>
      <c r="N1160" s="1499"/>
      <c r="O1160" s="1441"/>
      <c r="P1160" s="23"/>
      <c r="Q1160" s="53"/>
      <c r="R1160" s="2516"/>
      <c r="S1160" s="2516"/>
      <c r="T1160" s="2516"/>
      <c r="U1160" s="2516"/>
      <c r="V1160" s="2516"/>
      <c r="W1160" s="2523">
        <f t="shared" si="151"/>
        <v>0</v>
      </c>
      <c r="X1160" s="2543"/>
      <c r="Y1160" s="2516"/>
      <c r="Z1160" s="2516"/>
      <c r="AA1160" s="53"/>
      <c r="AB1160" s="53"/>
      <c r="AC1160" s="53"/>
      <c r="AD1160" s="53"/>
      <c r="AE1160" s="53"/>
    </row>
    <row r="1161" spans="1:31" s="9" customFormat="1" ht="18.75">
      <c r="A1161" s="24"/>
      <c r="B1161" s="45"/>
      <c r="C1161" s="2197"/>
      <c r="D1161" s="2197"/>
      <c r="E1161" s="2197"/>
      <c r="F1161" s="2197"/>
      <c r="G1161" s="2197"/>
      <c r="H1161" s="2197"/>
      <c r="I1161" s="41" t="s">
        <v>542</v>
      </c>
      <c r="J1161" s="1141">
        <v>34300</v>
      </c>
      <c r="K1161" s="1360">
        <f>K110</f>
        <v>1.0414</v>
      </c>
      <c r="L1161" s="1348">
        <f>SUM(J1161:K1161)</f>
        <v>34301.0414</v>
      </c>
      <c r="M1161" s="1486">
        <f>J1161/10000</f>
        <v>3.43</v>
      </c>
      <c r="N1161" s="1499">
        <f>N110</f>
        <v>1.0414</v>
      </c>
      <c r="O1161" s="1440">
        <f>SUM(M1161:N1161)</f>
        <v>4.4714</v>
      </c>
      <c r="P1161" s="23"/>
      <c r="Q1161" s="53"/>
      <c r="R1161" s="2516"/>
      <c r="S1161" s="2516"/>
      <c r="T1161" s="2516"/>
      <c r="U1161" s="2516"/>
      <c r="V1161" s="2516"/>
      <c r="W1161" s="2523">
        <f t="shared" si="151"/>
        <v>34320</v>
      </c>
      <c r="X1161" s="2543">
        <v>28600</v>
      </c>
      <c r="Y1161" s="2516"/>
      <c r="Z1161" s="2516"/>
      <c r="AA1161" s="53"/>
      <c r="AB1161" s="53"/>
      <c r="AC1161" s="53"/>
      <c r="AD1161" s="53"/>
      <c r="AE1161" s="53"/>
    </row>
    <row r="1162" spans="1:31" s="9" customFormat="1" ht="18">
      <c r="A1162" s="24">
        <v>9</v>
      </c>
      <c r="B1162" s="45"/>
      <c r="C1162" s="2197" t="s">
        <v>544</v>
      </c>
      <c r="D1162" s="2197"/>
      <c r="E1162" s="2197"/>
      <c r="F1162" s="2197"/>
      <c r="G1162" s="2197"/>
      <c r="H1162" s="2197"/>
      <c r="I1162" s="41"/>
      <c r="J1162" s="1141"/>
      <c r="K1162" s="1360"/>
      <c r="L1162" s="1363"/>
      <c r="M1162" s="1462"/>
      <c r="N1162" s="1499"/>
      <c r="O1162" s="1441"/>
      <c r="P1162" s="23"/>
      <c r="Q1162" s="53"/>
      <c r="R1162" s="2516"/>
      <c r="S1162" s="2516"/>
      <c r="T1162" s="2516"/>
      <c r="U1162" s="2516"/>
      <c r="V1162" s="2516"/>
      <c r="W1162" s="2523">
        <f t="shared" si="151"/>
        <v>0</v>
      </c>
      <c r="X1162" s="2543"/>
      <c r="Y1162" s="2516"/>
      <c r="Z1162" s="2516"/>
      <c r="AA1162" s="53"/>
      <c r="AB1162" s="53"/>
      <c r="AC1162" s="53"/>
      <c r="AD1162" s="53"/>
      <c r="AE1162" s="53"/>
    </row>
    <row r="1163" spans="1:31" s="9" customFormat="1" ht="18.75">
      <c r="A1163" s="24"/>
      <c r="B1163" s="45"/>
      <c r="C1163" s="2197"/>
      <c r="D1163" s="2197"/>
      <c r="E1163" s="2197"/>
      <c r="F1163" s="2197"/>
      <c r="G1163" s="2197"/>
      <c r="H1163" s="2197"/>
      <c r="I1163" s="41" t="s">
        <v>542</v>
      </c>
      <c r="J1163" s="1141">
        <v>30000</v>
      </c>
      <c r="K1163" s="1360">
        <f>K112</f>
        <v>1.0414</v>
      </c>
      <c r="L1163" s="1348">
        <f>SUM(J1163:K1163)</f>
        <v>30001.0414</v>
      </c>
      <c r="M1163" s="1486">
        <f>J1163/10000</f>
        <v>3</v>
      </c>
      <c r="N1163" s="1499">
        <f>N112</f>
        <v>1.0414</v>
      </c>
      <c r="O1163" s="1440">
        <f>SUM(M1163:N1163)</f>
        <v>4.0414</v>
      </c>
      <c r="P1163" s="23"/>
      <c r="Q1163" s="53"/>
      <c r="R1163" s="2516"/>
      <c r="S1163" s="2516"/>
      <c r="T1163" s="2516"/>
      <c r="U1163" s="2516"/>
      <c r="V1163" s="2516"/>
      <c r="W1163" s="2523">
        <f t="shared" si="151"/>
        <v>30000</v>
      </c>
      <c r="X1163" s="2543">
        <v>25000</v>
      </c>
      <c r="Y1163" s="2516"/>
      <c r="Z1163" s="2516"/>
      <c r="AA1163" s="53"/>
      <c r="AB1163" s="53"/>
      <c r="AC1163" s="53"/>
      <c r="AD1163" s="53"/>
      <c r="AE1163" s="53"/>
    </row>
    <row r="1164" spans="1:31" s="9" customFormat="1" ht="18">
      <c r="A1164" s="24">
        <v>10</v>
      </c>
      <c r="B1164" s="45"/>
      <c r="C1164" s="2197" t="s">
        <v>545</v>
      </c>
      <c r="D1164" s="2197"/>
      <c r="E1164" s="2197"/>
      <c r="F1164" s="2197"/>
      <c r="G1164" s="2197"/>
      <c r="H1164" s="2197"/>
      <c r="I1164" s="41"/>
      <c r="J1164" s="1141"/>
      <c r="K1164" s="1360"/>
      <c r="L1164" s="1363"/>
      <c r="M1164" s="1462"/>
      <c r="N1164" s="1499"/>
      <c r="O1164" s="1441"/>
      <c r="P1164" s="23"/>
      <c r="Q1164" s="53"/>
      <c r="R1164" s="2516"/>
      <c r="S1164" s="2516"/>
      <c r="T1164" s="2516"/>
      <c r="U1164" s="2516"/>
      <c r="V1164" s="2516"/>
      <c r="W1164" s="2523">
        <f t="shared" si="151"/>
        <v>0</v>
      </c>
      <c r="X1164" s="2543"/>
      <c r="Y1164" s="2516"/>
      <c r="Z1164" s="2516"/>
      <c r="AA1164" s="53"/>
      <c r="AB1164" s="53"/>
      <c r="AC1164" s="53"/>
      <c r="AD1164" s="53"/>
      <c r="AE1164" s="53"/>
    </row>
    <row r="1165" spans="1:31" s="9" customFormat="1" ht="18.75">
      <c r="A1165" s="24"/>
      <c r="B1165" s="45"/>
      <c r="C1165" s="2197"/>
      <c r="D1165" s="2197"/>
      <c r="E1165" s="2197"/>
      <c r="F1165" s="2197"/>
      <c r="G1165" s="2197"/>
      <c r="H1165" s="2197"/>
      <c r="I1165" s="41" t="s">
        <v>542</v>
      </c>
      <c r="J1165" s="1141">
        <v>30000</v>
      </c>
      <c r="K1165" s="1360">
        <f>K114</f>
        <v>1.0414</v>
      </c>
      <c r="L1165" s="1348">
        <f>SUM(J1165:K1165)</f>
        <v>30001.0414</v>
      </c>
      <c r="M1165" s="1486">
        <f>J1165/10000</f>
        <v>3</v>
      </c>
      <c r="N1165" s="1499">
        <f>N114</f>
        <v>1.0414</v>
      </c>
      <c r="O1165" s="1440">
        <f>SUM(M1165:N1165)</f>
        <v>4.0414</v>
      </c>
      <c r="P1165" s="23"/>
      <c r="Q1165" s="53"/>
      <c r="R1165" s="2516"/>
      <c r="S1165" s="2516"/>
      <c r="T1165" s="2516"/>
      <c r="U1165" s="2516"/>
      <c r="V1165" s="2516"/>
      <c r="W1165" s="2523">
        <f t="shared" si="151"/>
        <v>30000</v>
      </c>
      <c r="X1165" s="2543">
        <v>25000</v>
      </c>
      <c r="Y1165" s="2516"/>
      <c r="Z1165" s="2516"/>
      <c r="AA1165" s="53"/>
      <c r="AB1165" s="53"/>
      <c r="AC1165" s="53"/>
      <c r="AD1165" s="53"/>
      <c r="AE1165" s="53"/>
    </row>
    <row r="1166" spans="1:31" s="9" customFormat="1" ht="18">
      <c r="A1166" s="24">
        <v>11</v>
      </c>
      <c r="B1166" s="45"/>
      <c r="C1166" s="2197" t="s">
        <v>546</v>
      </c>
      <c r="D1166" s="2197"/>
      <c r="E1166" s="2197"/>
      <c r="F1166" s="2197"/>
      <c r="G1166" s="2197"/>
      <c r="H1166" s="2197"/>
      <c r="I1166" s="41"/>
      <c r="J1166" s="1141"/>
      <c r="K1166" s="1360"/>
      <c r="L1166" s="1363"/>
      <c r="M1166" s="1462"/>
      <c r="N1166" s="1499"/>
      <c r="O1166" s="1441"/>
      <c r="P1166" s="23"/>
      <c r="Q1166" s="53"/>
      <c r="R1166" s="2516"/>
      <c r="S1166" s="2516"/>
      <c r="T1166" s="2516"/>
      <c r="U1166" s="2516"/>
      <c r="V1166" s="2516"/>
      <c r="W1166" s="2523">
        <f t="shared" si="151"/>
        <v>0</v>
      </c>
      <c r="X1166" s="2543"/>
      <c r="Y1166" s="2516"/>
      <c r="Z1166" s="2516"/>
      <c r="AA1166" s="53"/>
      <c r="AB1166" s="53"/>
      <c r="AC1166" s="53"/>
      <c r="AD1166" s="53"/>
      <c r="AE1166" s="53"/>
    </row>
    <row r="1167" spans="1:31" s="9" customFormat="1" ht="18.75">
      <c r="A1167" s="24"/>
      <c r="B1167" s="45"/>
      <c r="C1167" s="2197"/>
      <c r="D1167" s="2197"/>
      <c r="E1167" s="2197"/>
      <c r="F1167" s="2197"/>
      <c r="G1167" s="2197"/>
      <c r="H1167" s="2197"/>
      <c r="I1167" s="41" t="s">
        <v>542</v>
      </c>
      <c r="J1167" s="1141">
        <v>34300</v>
      </c>
      <c r="K1167" s="1360">
        <f>K116</f>
        <v>1.0414</v>
      </c>
      <c r="L1167" s="1348">
        <f>SUM(J1167:K1167)</f>
        <v>34301.0414</v>
      </c>
      <c r="M1167" s="1486">
        <f>J1167/10000</f>
        <v>3.43</v>
      </c>
      <c r="N1167" s="1499">
        <f>N116</f>
        <v>1.0414</v>
      </c>
      <c r="O1167" s="1440">
        <f>SUM(M1167:N1167)</f>
        <v>4.4714</v>
      </c>
      <c r="P1167" s="23"/>
      <c r="Q1167" s="53"/>
      <c r="R1167" s="2516"/>
      <c r="S1167" s="2516"/>
      <c r="T1167" s="2516"/>
      <c r="U1167" s="2516"/>
      <c r="V1167" s="2516"/>
      <c r="W1167" s="2523">
        <f t="shared" si="151"/>
        <v>34320</v>
      </c>
      <c r="X1167" s="2543">
        <v>28600</v>
      </c>
      <c r="Y1167" s="2516"/>
      <c r="Z1167" s="2516"/>
      <c r="AA1167" s="53"/>
      <c r="AB1167" s="53"/>
      <c r="AC1167" s="53"/>
      <c r="AD1167" s="53"/>
      <c r="AE1167" s="53"/>
    </row>
    <row r="1168" spans="1:31" s="9" customFormat="1" ht="18">
      <c r="A1168" s="24">
        <v>12</v>
      </c>
      <c r="B1168" s="45"/>
      <c r="C1168" s="2197" t="s">
        <v>547</v>
      </c>
      <c r="D1168" s="2197"/>
      <c r="E1168" s="2197"/>
      <c r="F1168" s="2197"/>
      <c r="G1168" s="2197"/>
      <c r="H1168" s="2197"/>
      <c r="I1168" s="41"/>
      <c r="J1168" s="1141"/>
      <c r="K1168" s="1360"/>
      <c r="L1168" s="1363"/>
      <c r="M1168" s="1462"/>
      <c r="N1168" s="1499"/>
      <c r="O1168" s="1441"/>
      <c r="P1168" s="23"/>
      <c r="Q1168" s="53"/>
      <c r="R1168" s="2516"/>
      <c r="S1168" s="2516"/>
      <c r="T1168" s="2516"/>
      <c r="U1168" s="2516"/>
      <c r="V1168" s="2516"/>
      <c r="W1168" s="2523">
        <f t="shared" si="151"/>
        <v>0</v>
      </c>
      <c r="X1168" s="2543"/>
      <c r="Y1168" s="2516"/>
      <c r="Z1168" s="2516"/>
      <c r="AA1168" s="53"/>
      <c r="AB1168" s="53"/>
      <c r="AC1168" s="53"/>
      <c r="AD1168" s="53"/>
      <c r="AE1168" s="53"/>
    </row>
    <row r="1169" spans="1:31" s="9" customFormat="1" ht="18.75">
      <c r="A1169" s="24"/>
      <c r="B1169" s="45"/>
      <c r="C1169" s="2197"/>
      <c r="D1169" s="2197"/>
      <c r="E1169" s="2197"/>
      <c r="F1169" s="2197"/>
      <c r="G1169" s="2197"/>
      <c r="H1169" s="2197"/>
      <c r="I1169" s="41" t="s">
        <v>542</v>
      </c>
      <c r="J1169" s="1141">
        <v>30000</v>
      </c>
      <c r="K1169" s="1360">
        <f>K118</f>
        <v>0.8714000000000001</v>
      </c>
      <c r="L1169" s="1348">
        <f>SUM(J1169:K1169)</f>
        <v>30000.8714</v>
      </c>
      <c r="M1169" s="1486">
        <f>J1169/10000</f>
        <v>3</v>
      </c>
      <c r="N1169" s="1499">
        <f>N118</f>
        <v>0.8714000000000001</v>
      </c>
      <c r="O1169" s="1440">
        <f>SUM(M1169:N1169)</f>
        <v>3.8714</v>
      </c>
      <c r="P1169" s="23"/>
      <c r="Q1169" s="53"/>
      <c r="R1169" s="2516"/>
      <c r="S1169" s="2516"/>
      <c r="T1169" s="2516"/>
      <c r="U1169" s="2516"/>
      <c r="V1169" s="2516"/>
      <c r="W1169" s="2523">
        <f t="shared" si="151"/>
        <v>30000</v>
      </c>
      <c r="X1169" s="2543">
        <v>25000</v>
      </c>
      <c r="Y1169" s="2516"/>
      <c r="Z1169" s="2516"/>
      <c r="AA1169" s="53"/>
      <c r="AB1169" s="53"/>
      <c r="AC1169" s="53"/>
      <c r="AD1169" s="53"/>
      <c r="AE1169" s="53"/>
    </row>
    <row r="1170" spans="1:31" s="9" customFormat="1" ht="18">
      <c r="A1170" s="24">
        <v>13</v>
      </c>
      <c r="B1170" s="45"/>
      <c r="C1170" s="2197" t="s">
        <v>548</v>
      </c>
      <c r="D1170" s="2197"/>
      <c r="E1170" s="2197"/>
      <c r="F1170" s="2197"/>
      <c r="G1170" s="2197"/>
      <c r="H1170" s="2197"/>
      <c r="I1170" s="41"/>
      <c r="J1170" s="1141"/>
      <c r="K1170" s="1360"/>
      <c r="L1170" s="1363"/>
      <c r="M1170" s="1462"/>
      <c r="N1170" s="1499"/>
      <c r="O1170" s="1441"/>
      <c r="P1170" s="23"/>
      <c r="Q1170" s="53"/>
      <c r="R1170" s="2516"/>
      <c r="S1170" s="2516"/>
      <c r="T1170" s="2516"/>
      <c r="U1170" s="2516"/>
      <c r="V1170" s="2516"/>
      <c r="W1170" s="2523">
        <f t="shared" si="151"/>
        <v>0</v>
      </c>
      <c r="X1170" s="2543"/>
      <c r="Y1170" s="2516"/>
      <c r="Z1170" s="2516"/>
      <c r="AA1170" s="53"/>
      <c r="AB1170" s="53"/>
      <c r="AC1170" s="53"/>
      <c r="AD1170" s="53"/>
      <c r="AE1170" s="53"/>
    </row>
    <row r="1171" spans="1:31" s="9" customFormat="1" ht="18.75">
      <c r="A1171" s="24"/>
      <c r="B1171" s="45"/>
      <c r="C1171" s="2197"/>
      <c r="D1171" s="2197"/>
      <c r="E1171" s="2197"/>
      <c r="F1171" s="2197"/>
      <c r="G1171" s="2197"/>
      <c r="H1171" s="2197"/>
      <c r="I1171" s="41" t="s">
        <v>542</v>
      </c>
      <c r="J1171" s="1141">
        <v>30000</v>
      </c>
      <c r="K1171" s="1360">
        <f>K120</f>
        <v>1.0414</v>
      </c>
      <c r="L1171" s="1348">
        <f>SUM(J1171:K1171)</f>
        <v>30001.0414</v>
      </c>
      <c r="M1171" s="1486">
        <f>J1171/10000</f>
        <v>3</v>
      </c>
      <c r="N1171" s="1499">
        <f>N120</f>
        <v>1.0414</v>
      </c>
      <c r="O1171" s="1440">
        <f>SUM(M1171:N1171)</f>
        <v>4.0414</v>
      </c>
      <c r="P1171" s="23"/>
      <c r="Q1171" s="53"/>
      <c r="R1171" s="2516"/>
      <c r="S1171" s="2516"/>
      <c r="T1171" s="2516"/>
      <c r="U1171" s="2516"/>
      <c r="V1171" s="2516"/>
      <c r="W1171" s="2523">
        <f t="shared" si="151"/>
        <v>30000</v>
      </c>
      <c r="X1171" s="2543">
        <v>25000</v>
      </c>
      <c r="Y1171" s="2516"/>
      <c r="Z1171" s="2516"/>
      <c r="AA1171" s="53"/>
      <c r="AB1171" s="53"/>
      <c r="AC1171" s="53"/>
      <c r="AD1171" s="53"/>
      <c r="AE1171" s="53"/>
    </row>
    <row r="1172" spans="1:31" s="9" customFormat="1" ht="18">
      <c r="A1172" s="24">
        <v>14</v>
      </c>
      <c r="B1172" s="45"/>
      <c r="C1172" s="2197" t="s">
        <v>549</v>
      </c>
      <c r="D1172" s="2197"/>
      <c r="E1172" s="2197"/>
      <c r="F1172" s="2197"/>
      <c r="G1172" s="2197"/>
      <c r="H1172" s="2197"/>
      <c r="I1172" s="41"/>
      <c r="J1172" s="1141"/>
      <c r="K1172" s="1360"/>
      <c r="L1172" s="1363"/>
      <c r="M1172" s="1462"/>
      <c r="N1172" s="1499"/>
      <c r="O1172" s="1441"/>
      <c r="P1172" s="23"/>
      <c r="Q1172" s="53"/>
      <c r="R1172" s="2516"/>
      <c r="S1172" s="2516"/>
      <c r="T1172" s="2516"/>
      <c r="U1172" s="2516"/>
      <c r="V1172" s="2516"/>
      <c r="W1172" s="2523">
        <f t="shared" si="151"/>
        <v>0</v>
      </c>
      <c r="X1172" s="2543"/>
      <c r="Y1172" s="2516"/>
      <c r="Z1172" s="2516"/>
      <c r="AA1172" s="53"/>
      <c r="AB1172" s="53"/>
      <c r="AC1172" s="53"/>
      <c r="AD1172" s="53"/>
      <c r="AE1172" s="53"/>
    </row>
    <row r="1173" spans="1:31" s="9" customFormat="1" ht="18.75">
      <c r="A1173" s="24"/>
      <c r="B1173" s="45"/>
      <c r="C1173" s="2197"/>
      <c r="D1173" s="2197"/>
      <c r="E1173" s="2197"/>
      <c r="F1173" s="2197"/>
      <c r="G1173" s="2197"/>
      <c r="H1173" s="2197"/>
      <c r="I1173" s="41" t="s">
        <v>542</v>
      </c>
      <c r="J1173" s="1141">
        <v>128800</v>
      </c>
      <c r="K1173" s="1360">
        <f>K122</f>
        <v>1.0424000000000002</v>
      </c>
      <c r="L1173" s="1348">
        <f>SUM(J1173:K1173)</f>
        <v>128801.0424</v>
      </c>
      <c r="M1173" s="1486">
        <f>J1173/10000</f>
        <v>12.88</v>
      </c>
      <c r="N1173" s="1499">
        <f>N122</f>
        <v>1.0424000000000002</v>
      </c>
      <c r="O1173" s="1440">
        <f>SUM(M1173:N1173)</f>
        <v>13.922400000000001</v>
      </c>
      <c r="P1173" s="23"/>
      <c r="Q1173" s="53"/>
      <c r="R1173" s="2516"/>
      <c r="S1173" s="2516"/>
      <c r="T1173" s="2516"/>
      <c r="U1173" s="2516"/>
      <c r="V1173" s="2516"/>
      <c r="W1173" s="2523">
        <f t="shared" si="151"/>
        <v>128760</v>
      </c>
      <c r="X1173" s="2543">
        <v>107300</v>
      </c>
      <c r="Y1173" s="2516"/>
      <c r="Z1173" s="2516"/>
      <c r="AA1173" s="53"/>
      <c r="AB1173" s="53"/>
      <c r="AC1173" s="53"/>
      <c r="AD1173" s="53"/>
      <c r="AE1173" s="53"/>
    </row>
    <row r="1174" spans="1:31" s="9" customFormat="1" ht="18.75">
      <c r="A1174" s="24">
        <v>15</v>
      </c>
      <c r="B1174" s="45"/>
      <c r="C1174" s="126" t="s">
        <v>550</v>
      </c>
      <c r="D1174" s="126"/>
      <c r="E1174" s="126"/>
      <c r="F1174" s="126"/>
      <c r="G1174" s="126"/>
      <c r="H1174" s="126"/>
      <c r="I1174" s="41" t="s">
        <v>542</v>
      </c>
      <c r="J1174" s="1141">
        <v>22300</v>
      </c>
      <c r="K1174" s="1360">
        <f>K123</f>
        <v>1.1475</v>
      </c>
      <c r="L1174" s="1348">
        <f>SUM(J1174:K1174)</f>
        <v>22301.1475</v>
      </c>
      <c r="M1174" s="1486">
        <f>J1174/10000</f>
        <v>2.23</v>
      </c>
      <c r="N1174" s="1499">
        <f>N123</f>
        <v>1.1475</v>
      </c>
      <c r="O1174" s="1440">
        <f>SUM(M1174:N1174)</f>
        <v>3.3775</v>
      </c>
      <c r="P1174" s="23"/>
      <c r="Q1174" s="53"/>
      <c r="R1174" s="2516"/>
      <c r="S1174" s="2516"/>
      <c r="T1174" s="2516"/>
      <c r="U1174" s="2516"/>
      <c r="V1174" s="2516"/>
      <c r="W1174" s="2523">
        <f t="shared" si="151"/>
        <v>22320</v>
      </c>
      <c r="X1174" s="2543">
        <v>18600</v>
      </c>
      <c r="Y1174" s="2516"/>
      <c r="Z1174" s="2516"/>
      <c r="AA1174" s="53"/>
      <c r="AB1174" s="53"/>
      <c r="AC1174" s="53"/>
      <c r="AD1174" s="53"/>
      <c r="AE1174" s="53"/>
    </row>
    <row r="1175" spans="1:31" s="9" customFormat="1" ht="18.75">
      <c r="A1175" s="24">
        <v>16</v>
      </c>
      <c r="B1175" s="45"/>
      <c r="C1175" s="126" t="s">
        <v>551</v>
      </c>
      <c r="D1175" s="126"/>
      <c r="E1175" s="126"/>
      <c r="F1175" s="126"/>
      <c r="G1175" s="126"/>
      <c r="H1175" s="126"/>
      <c r="I1175" s="41" t="s">
        <v>542</v>
      </c>
      <c r="J1175" s="1141">
        <v>24600</v>
      </c>
      <c r="K1175" s="1360">
        <f>'[1]КВО.'!$G$151</f>
        <v>0</v>
      </c>
      <c r="L1175" s="1348">
        <f>SUM(J1175:K1175)</f>
        <v>24600</v>
      </c>
      <c r="M1175" s="1486">
        <f>J1175/10000</f>
        <v>2.46</v>
      </c>
      <c r="N1175" s="1499">
        <f>'[1]КВО.'!$G$151</f>
        <v>0</v>
      </c>
      <c r="O1175" s="1440">
        <f>SUM(M1175:N1175)</f>
        <v>2.46</v>
      </c>
      <c r="P1175" s="23"/>
      <c r="Q1175" s="53"/>
      <c r="R1175" s="2516"/>
      <c r="S1175" s="2516"/>
      <c r="T1175" s="2516"/>
      <c r="U1175" s="2516"/>
      <c r="V1175" s="2516"/>
      <c r="W1175" s="2523">
        <f t="shared" si="151"/>
        <v>24600</v>
      </c>
      <c r="X1175" s="2543">
        <v>20500</v>
      </c>
      <c r="Y1175" s="2516"/>
      <c r="Z1175" s="2516"/>
      <c r="AA1175" s="53"/>
      <c r="AB1175" s="53"/>
      <c r="AC1175" s="53"/>
      <c r="AD1175" s="53"/>
      <c r="AE1175" s="53"/>
    </row>
    <row r="1176" spans="1:31" s="9" customFormat="1" ht="18">
      <c r="A1176" s="24">
        <v>17</v>
      </c>
      <c r="B1176" s="45"/>
      <c r="C1176" s="2197" t="s">
        <v>552</v>
      </c>
      <c r="D1176" s="2197"/>
      <c r="E1176" s="2197"/>
      <c r="F1176" s="2197"/>
      <c r="G1176" s="2197"/>
      <c r="H1176" s="2197"/>
      <c r="I1176" s="41"/>
      <c r="J1176" s="1141"/>
      <c r="K1176" s="1360"/>
      <c r="L1176" s="1363"/>
      <c r="M1176" s="1462"/>
      <c r="N1176" s="1499"/>
      <c r="O1176" s="1441"/>
      <c r="P1176" s="23"/>
      <c r="Q1176" s="53"/>
      <c r="R1176" s="2516"/>
      <c r="S1176" s="2516"/>
      <c r="T1176" s="2516"/>
      <c r="U1176" s="2516"/>
      <c r="V1176" s="2516"/>
      <c r="W1176" s="2523">
        <f t="shared" si="151"/>
        <v>0</v>
      </c>
      <c r="X1176" s="2543"/>
      <c r="Y1176" s="2516"/>
      <c r="Z1176" s="2516"/>
      <c r="AA1176" s="53"/>
      <c r="AB1176" s="53"/>
      <c r="AC1176" s="53"/>
      <c r="AD1176" s="53"/>
      <c r="AE1176" s="53"/>
    </row>
    <row r="1177" spans="1:31" s="9" customFormat="1" ht="18.75">
      <c r="A1177" s="24"/>
      <c r="B1177" s="45"/>
      <c r="C1177" s="2197"/>
      <c r="D1177" s="2197"/>
      <c r="E1177" s="2197"/>
      <c r="F1177" s="2197"/>
      <c r="G1177" s="2197"/>
      <c r="H1177" s="2197"/>
      <c r="I1177" s="41" t="s">
        <v>542</v>
      </c>
      <c r="J1177" s="1141">
        <v>43000</v>
      </c>
      <c r="K1177" s="1360">
        <f>K126</f>
        <v>0.3035</v>
      </c>
      <c r="L1177" s="1348">
        <f>SUM(J1177:K1177)</f>
        <v>43000.3035</v>
      </c>
      <c r="M1177" s="1486">
        <f>J1177/10000</f>
        <v>4.3</v>
      </c>
      <c r="N1177" s="1499">
        <f>N126</f>
        <v>0.3035</v>
      </c>
      <c r="O1177" s="1440">
        <f>SUM(M1177:N1177)</f>
        <v>4.6034999999999995</v>
      </c>
      <c r="P1177" s="23"/>
      <c r="Q1177" s="53"/>
      <c r="R1177" s="2516"/>
      <c r="S1177" s="2516"/>
      <c r="T1177" s="2516"/>
      <c r="U1177" s="2516"/>
      <c r="V1177" s="2516"/>
      <c r="W1177" s="2523">
        <f t="shared" si="151"/>
        <v>42960</v>
      </c>
      <c r="X1177" s="2543">
        <v>35800</v>
      </c>
      <c r="Y1177" s="2516"/>
      <c r="Z1177" s="2516"/>
      <c r="AA1177" s="53"/>
      <c r="AB1177" s="53"/>
      <c r="AC1177" s="53"/>
      <c r="AD1177" s="53"/>
      <c r="AE1177" s="53"/>
    </row>
    <row r="1178" spans="1:31" s="9" customFormat="1" ht="18">
      <c r="A1178" s="24"/>
      <c r="B1178" s="45"/>
      <c r="C1178" s="1539" t="s">
        <v>206</v>
      </c>
      <c r="D1178" s="126"/>
      <c r="E1178" s="126"/>
      <c r="F1178" s="126"/>
      <c r="G1178" s="126"/>
      <c r="H1178" s="126"/>
      <c r="I1178" s="41"/>
      <c r="J1178" s="1141"/>
      <c r="K1178" s="1360"/>
      <c r="L1178" s="1363"/>
      <c r="M1178" s="1462"/>
      <c r="N1178" s="1499"/>
      <c r="O1178" s="1441"/>
      <c r="P1178" s="23"/>
      <c r="Q1178" s="53"/>
      <c r="R1178" s="2516"/>
      <c r="S1178" s="2516"/>
      <c r="T1178" s="2516"/>
      <c r="U1178" s="2516"/>
      <c r="V1178" s="2516"/>
      <c r="W1178" s="2523">
        <f t="shared" si="151"/>
        <v>0</v>
      </c>
      <c r="X1178" s="2543"/>
      <c r="Y1178" s="2516"/>
      <c r="Z1178" s="2516"/>
      <c r="AA1178" s="53"/>
      <c r="AB1178" s="53"/>
      <c r="AC1178" s="53"/>
      <c r="AD1178" s="53"/>
      <c r="AE1178" s="53"/>
    </row>
    <row r="1179" spans="1:31" s="9" customFormat="1" ht="18">
      <c r="A1179" s="24"/>
      <c r="B1179" s="45"/>
      <c r="C1179" s="1539" t="s">
        <v>553</v>
      </c>
      <c r="D1179" s="126"/>
      <c r="E1179" s="126"/>
      <c r="F1179" s="126"/>
      <c r="G1179" s="126"/>
      <c r="H1179" s="126"/>
      <c r="I1179" s="41"/>
      <c r="J1179" s="1141"/>
      <c r="K1179" s="1360"/>
      <c r="L1179" s="1363"/>
      <c r="M1179" s="1462"/>
      <c r="N1179" s="1499"/>
      <c r="O1179" s="1441"/>
      <c r="P1179" s="23"/>
      <c r="Q1179" s="53"/>
      <c r="R1179" s="2516"/>
      <c r="S1179" s="2516"/>
      <c r="T1179" s="2516"/>
      <c r="U1179" s="2516"/>
      <c r="V1179" s="2516"/>
      <c r="W1179" s="2523">
        <f t="shared" si="151"/>
        <v>0</v>
      </c>
      <c r="X1179" s="2543"/>
      <c r="Y1179" s="2516"/>
      <c r="Z1179" s="2516"/>
      <c r="AA1179" s="53"/>
      <c r="AB1179" s="53"/>
      <c r="AC1179" s="53"/>
      <c r="AD1179" s="53"/>
      <c r="AE1179" s="53"/>
    </row>
    <row r="1180" spans="1:31" s="9" customFormat="1" ht="18">
      <c r="A1180" s="24">
        <v>18</v>
      </c>
      <c r="B1180" s="45"/>
      <c r="C1180" s="2197" t="s">
        <v>554</v>
      </c>
      <c r="D1180" s="2197"/>
      <c r="E1180" s="2197"/>
      <c r="F1180" s="2197"/>
      <c r="G1180" s="2197"/>
      <c r="H1180" s="2197"/>
      <c r="I1180" s="41"/>
      <c r="J1180" s="1141"/>
      <c r="K1180" s="1360"/>
      <c r="L1180" s="1363"/>
      <c r="M1180" s="1462"/>
      <c r="N1180" s="1499"/>
      <c r="O1180" s="1441"/>
      <c r="P1180" s="23"/>
      <c r="Q1180" s="53"/>
      <c r="R1180" s="2516"/>
      <c r="S1180" s="2516"/>
      <c r="T1180" s="2516"/>
      <c r="U1180" s="2516"/>
      <c r="V1180" s="2516"/>
      <c r="W1180" s="2523">
        <f t="shared" si="151"/>
        <v>0</v>
      </c>
      <c r="X1180" s="2543"/>
      <c r="Y1180" s="2516"/>
      <c r="Z1180" s="2516"/>
      <c r="AA1180" s="53"/>
      <c r="AB1180" s="53"/>
      <c r="AC1180" s="53"/>
      <c r="AD1180" s="53"/>
      <c r="AE1180" s="53"/>
    </row>
    <row r="1181" spans="1:31" s="9" customFormat="1" ht="18.75">
      <c r="A1181" s="24"/>
      <c r="B1181" s="45"/>
      <c r="C1181" s="2197"/>
      <c r="D1181" s="2197"/>
      <c r="E1181" s="2197"/>
      <c r="F1181" s="2197"/>
      <c r="G1181" s="2197"/>
      <c r="H1181" s="2197"/>
      <c r="I1181" s="41" t="s">
        <v>542</v>
      </c>
      <c r="J1181" s="1141">
        <v>47300</v>
      </c>
      <c r="K1181" s="1360">
        <f>K130</f>
        <v>1.6629</v>
      </c>
      <c r="L1181" s="1348">
        <f>SUM(J1181:K1181)</f>
        <v>47301.6629</v>
      </c>
      <c r="M1181" s="1486">
        <f>J1181/10000</f>
        <v>4.73</v>
      </c>
      <c r="N1181" s="1499">
        <f>N130</f>
        <v>1.6629</v>
      </c>
      <c r="O1181" s="1440">
        <f>SUM(M1181:N1181)</f>
        <v>6.392900000000001</v>
      </c>
      <c r="P1181" s="23"/>
      <c r="Q1181" s="53"/>
      <c r="R1181" s="2516"/>
      <c r="S1181" s="2516"/>
      <c r="T1181" s="2516"/>
      <c r="U1181" s="2516"/>
      <c r="V1181" s="2516"/>
      <c r="W1181" s="2523">
        <f t="shared" si="151"/>
        <v>47280</v>
      </c>
      <c r="X1181" s="2543">
        <v>39400</v>
      </c>
      <c r="Y1181" s="2516"/>
      <c r="Z1181" s="2516"/>
      <c r="AA1181" s="53"/>
      <c r="AB1181" s="53"/>
      <c r="AC1181" s="53"/>
      <c r="AD1181" s="53"/>
      <c r="AE1181" s="53"/>
    </row>
    <row r="1182" spans="1:31" s="9" customFormat="1" ht="18">
      <c r="A1182" s="24">
        <v>19</v>
      </c>
      <c r="B1182" s="45"/>
      <c r="C1182" s="2197" t="s">
        <v>555</v>
      </c>
      <c r="D1182" s="2197"/>
      <c r="E1182" s="2197"/>
      <c r="F1182" s="2197"/>
      <c r="G1182" s="2197"/>
      <c r="H1182" s="2197"/>
      <c r="I1182" s="41"/>
      <c r="J1182" s="1141"/>
      <c r="K1182" s="1360"/>
      <c r="L1182" s="1363"/>
      <c r="M1182" s="1462"/>
      <c r="N1182" s="1499"/>
      <c r="O1182" s="1441"/>
      <c r="P1182" s="23"/>
      <c r="Q1182" s="53"/>
      <c r="R1182" s="2516"/>
      <c r="S1182" s="2516"/>
      <c r="T1182" s="2516"/>
      <c r="U1182" s="2516"/>
      <c r="V1182" s="2516"/>
      <c r="W1182" s="2523">
        <f t="shared" si="151"/>
        <v>0</v>
      </c>
      <c r="X1182" s="2543"/>
      <c r="Y1182" s="2516"/>
      <c r="Z1182" s="2516"/>
      <c r="AA1182" s="53"/>
      <c r="AB1182" s="53"/>
      <c r="AC1182" s="53"/>
      <c r="AD1182" s="53"/>
      <c r="AE1182" s="53"/>
    </row>
    <row r="1183" spans="1:31" s="9" customFormat="1" ht="18.75">
      <c r="A1183" s="24"/>
      <c r="B1183" s="45"/>
      <c r="C1183" s="2197"/>
      <c r="D1183" s="2197"/>
      <c r="E1183" s="2197"/>
      <c r="F1183" s="2197"/>
      <c r="G1183" s="2197"/>
      <c r="H1183" s="2197"/>
      <c r="I1183" s="41" t="s">
        <v>542</v>
      </c>
      <c r="J1183" s="1141">
        <v>30000</v>
      </c>
      <c r="K1183" s="1360">
        <f>K132</f>
        <v>1.6629</v>
      </c>
      <c r="L1183" s="1348">
        <f>SUM(J1183:K1183)</f>
        <v>30001.6629</v>
      </c>
      <c r="M1183" s="1486">
        <f>J1183/10000</f>
        <v>3</v>
      </c>
      <c r="N1183" s="1499">
        <f>N132</f>
        <v>1.6629</v>
      </c>
      <c r="O1183" s="1440">
        <f>SUM(M1183:N1183)</f>
        <v>4.6629000000000005</v>
      </c>
      <c r="P1183" s="23"/>
      <c r="Q1183" s="53"/>
      <c r="R1183" s="2516"/>
      <c r="S1183" s="2516"/>
      <c r="T1183" s="2516"/>
      <c r="U1183" s="2516"/>
      <c r="V1183" s="2516"/>
      <c r="W1183" s="2523">
        <f t="shared" si="151"/>
        <v>30000</v>
      </c>
      <c r="X1183" s="2543">
        <v>25000</v>
      </c>
      <c r="Y1183" s="2516"/>
      <c r="Z1183" s="2516"/>
      <c r="AA1183" s="53"/>
      <c r="AB1183" s="53"/>
      <c r="AC1183" s="53"/>
      <c r="AD1183" s="53"/>
      <c r="AE1183" s="53"/>
    </row>
    <row r="1184" spans="1:31" s="9" customFormat="1" ht="18">
      <c r="A1184" s="24">
        <v>20</v>
      </c>
      <c r="B1184" s="45"/>
      <c r="C1184" s="2197" t="s">
        <v>556</v>
      </c>
      <c r="D1184" s="2197"/>
      <c r="E1184" s="2197"/>
      <c r="F1184" s="2197"/>
      <c r="G1184" s="2197"/>
      <c r="H1184" s="2197"/>
      <c r="I1184" s="41"/>
      <c r="J1184" s="1141"/>
      <c r="K1184" s="1360"/>
      <c r="L1184" s="1363"/>
      <c r="M1184" s="1462"/>
      <c r="N1184" s="1499"/>
      <c r="O1184" s="1441"/>
      <c r="P1184" s="23"/>
      <c r="Q1184" s="53"/>
      <c r="R1184" s="2516"/>
      <c r="S1184" s="2516"/>
      <c r="T1184" s="2516"/>
      <c r="U1184" s="2516"/>
      <c r="V1184" s="2516"/>
      <c r="W1184" s="2523">
        <f t="shared" si="151"/>
        <v>0</v>
      </c>
      <c r="X1184" s="2543"/>
      <c r="Y1184" s="2516"/>
      <c r="Z1184" s="2516"/>
      <c r="AA1184" s="53"/>
      <c r="AB1184" s="53"/>
      <c r="AC1184" s="53"/>
      <c r="AD1184" s="53"/>
      <c r="AE1184" s="53"/>
    </row>
    <row r="1185" spans="1:31" s="9" customFormat="1" ht="18.75">
      <c r="A1185" s="24"/>
      <c r="B1185" s="45"/>
      <c r="C1185" s="2197"/>
      <c r="D1185" s="2197"/>
      <c r="E1185" s="2197"/>
      <c r="F1185" s="2197"/>
      <c r="G1185" s="2197"/>
      <c r="H1185" s="2197"/>
      <c r="I1185" s="41" t="s">
        <v>542</v>
      </c>
      <c r="J1185" s="1141">
        <v>47300</v>
      </c>
      <c r="K1185" s="1360">
        <f>K134</f>
        <v>1.6489000000000003</v>
      </c>
      <c r="L1185" s="1348">
        <f>SUM(J1185:K1185)</f>
        <v>47301.6489</v>
      </c>
      <c r="M1185" s="1486">
        <f>J1185/10000</f>
        <v>4.73</v>
      </c>
      <c r="N1185" s="1499">
        <f>N134</f>
        <v>1.6489000000000003</v>
      </c>
      <c r="O1185" s="1440">
        <f>SUM(M1185:N1185)</f>
        <v>6.378900000000001</v>
      </c>
      <c r="P1185" s="23"/>
      <c r="Q1185" s="53"/>
      <c r="R1185" s="2516"/>
      <c r="S1185" s="2516"/>
      <c r="T1185" s="2516"/>
      <c r="U1185" s="2516"/>
      <c r="V1185" s="2516"/>
      <c r="W1185" s="2523">
        <f t="shared" si="151"/>
        <v>47280</v>
      </c>
      <c r="X1185" s="2543">
        <v>39400</v>
      </c>
      <c r="Y1185" s="2516"/>
      <c r="Z1185" s="2516"/>
      <c r="AA1185" s="53"/>
      <c r="AB1185" s="53"/>
      <c r="AC1185" s="53"/>
      <c r="AD1185" s="53"/>
      <c r="AE1185" s="53"/>
    </row>
    <row r="1186" spans="1:31" s="9" customFormat="1" ht="18">
      <c r="A1186" s="24">
        <v>21</v>
      </c>
      <c r="B1186" s="45"/>
      <c r="C1186" s="2197" t="s">
        <v>557</v>
      </c>
      <c r="D1186" s="2197"/>
      <c r="E1186" s="2197"/>
      <c r="F1186" s="2197"/>
      <c r="G1186" s="2197"/>
      <c r="H1186" s="2197"/>
      <c r="I1186" s="41"/>
      <c r="J1186" s="1141"/>
      <c r="K1186" s="1360"/>
      <c r="L1186" s="1363"/>
      <c r="M1186" s="1462"/>
      <c r="N1186" s="1499"/>
      <c r="O1186" s="1441"/>
      <c r="P1186" s="23"/>
      <c r="Q1186" s="53"/>
      <c r="R1186" s="2516"/>
      <c r="S1186" s="2516"/>
      <c r="T1186" s="2516"/>
      <c r="U1186" s="2516"/>
      <c r="V1186" s="2516"/>
      <c r="W1186" s="2523">
        <f t="shared" si="151"/>
        <v>0</v>
      </c>
      <c r="X1186" s="2543"/>
      <c r="Y1186" s="2516"/>
      <c r="Z1186" s="2516"/>
      <c r="AA1186" s="53"/>
      <c r="AB1186" s="53"/>
      <c r="AC1186" s="53"/>
      <c r="AD1186" s="53"/>
      <c r="AE1186" s="53"/>
    </row>
    <row r="1187" spans="1:31" s="9" customFormat="1" ht="18.75">
      <c r="A1187" s="24"/>
      <c r="B1187" s="45"/>
      <c r="C1187" s="2197"/>
      <c r="D1187" s="2197"/>
      <c r="E1187" s="2197"/>
      <c r="F1187" s="2197"/>
      <c r="G1187" s="2197"/>
      <c r="H1187" s="2197"/>
      <c r="I1187" s="41" t="s">
        <v>542</v>
      </c>
      <c r="J1187" s="1141">
        <v>38600</v>
      </c>
      <c r="K1187" s="1360">
        <f>K136</f>
        <v>1.6848999999999998</v>
      </c>
      <c r="L1187" s="1348">
        <f>SUM(J1187:K1187)</f>
        <v>38601.6849</v>
      </c>
      <c r="M1187" s="1486">
        <f>J1187/10000</f>
        <v>3.86</v>
      </c>
      <c r="N1187" s="1499">
        <f>N136</f>
        <v>1.6848999999999998</v>
      </c>
      <c r="O1187" s="1440">
        <f>SUM(M1187:N1187)</f>
        <v>5.5449</v>
      </c>
      <c r="P1187" s="23"/>
      <c r="Q1187" s="53"/>
      <c r="R1187" s="2516"/>
      <c r="S1187" s="2516"/>
      <c r="T1187" s="2516"/>
      <c r="U1187" s="2516"/>
      <c r="V1187" s="2516"/>
      <c r="W1187" s="2523">
        <f t="shared" si="151"/>
        <v>38640</v>
      </c>
      <c r="X1187" s="2543">
        <v>32200</v>
      </c>
      <c r="Y1187" s="2516"/>
      <c r="Z1187" s="2516"/>
      <c r="AA1187" s="53"/>
      <c r="AB1187" s="53"/>
      <c r="AC1187" s="53"/>
      <c r="AD1187" s="53"/>
      <c r="AE1187" s="53"/>
    </row>
    <row r="1188" spans="1:31" s="9" customFormat="1" ht="18">
      <c r="A1188" s="24">
        <v>22</v>
      </c>
      <c r="B1188" s="45"/>
      <c r="C1188" s="2197" t="s">
        <v>558</v>
      </c>
      <c r="D1188" s="2197"/>
      <c r="E1188" s="2197"/>
      <c r="F1188" s="2197"/>
      <c r="G1188" s="2197"/>
      <c r="H1188" s="2197"/>
      <c r="I1188" s="41"/>
      <c r="J1188" s="1141"/>
      <c r="K1188" s="1360"/>
      <c r="L1188" s="1363"/>
      <c r="M1188" s="1462"/>
      <c r="N1188" s="1499"/>
      <c r="O1188" s="1441"/>
      <c r="P1188" s="23"/>
      <c r="Q1188" s="53"/>
      <c r="R1188" s="2516"/>
      <c r="S1188" s="2516"/>
      <c r="T1188" s="2516"/>
      <c r="U1188" s="2516"/>
      <c r="V1188" s="2516"/>
      <c r="W1188" s="2523">
        <f t="shared" si="151"/>
        <v>0</v>
      </c>
      <c r="X1188" s="2543"/>
      <c r="Y1188" s="2516"/>
      <c r="Z1188" s="2516"/>
      <c r="AA1188" s="53"/>
      <c r="AB1188" s="53"/>
      <c r="AC1188" s="53"/>
      <c r="AD1188" s="53"/>
      <c r="AE1188" s="53"/>
    </row>
    <row r="1189" spans="1:31" s="9" customFormat="1" ht="18.75">
      <c r="A1189" s="24"/>
      <c r="B1189" s="45"/>
      <c r="C1189" s="2197"/>
      <c r="D1189" s="2197"/>
      <c r="E1189" s="2197"/>
      <c r="F1189" s="2197"/>
      <c r="G1189" s="2197"/>
      <c r="H1189" s="2197"/>
      <c r="I1189" s="41" t="s">
        <v>542</v>
      </c>
      <c r="J1189" s="1141">
        <v>34300</v>
      </c>
      <c r="K1189" s="1360">
        <f>K138</f>
        <v>1.6848999999999998</v>
      </c>
      <c r="L1189" s="1348">
        <f>SUM(J1189:K1189)</f>
        <v>34301.6849</v>
      </c>
      <c r="M1189" s="1486">
        <f>J1189/10000</f>
        <v>3.43</v>
      </c>
      <c r="N1189" s="1499">
        <f>N138</f>
        <v>1.6848999999999998</v>
      </c>
      <c r="O1189" s="1440">
        <f>SUM(M1189:N1189)</f>
        <v>5.1149000000000004</v>
      </c>
      <c r="P1189" s="23"/>
      <c r="Q1189" s="53"/>
      <c r="R1189" s="2516"/>
      <c r="S1189" s="2516"/>
      <c r="T1189" s="2516"/>
      <c r="U1189" s="2516"/>
      <c r="V1189" s="2516"/>
      <c r="W1189" s="2523">
        <f t="shared" si="151"/>
        <v>34320</v>
      </c>
      <c r="X1189" s="2543">
        <v>28600</v>
      </c>
      <c r="Y1189" s="2516"/>
      <c r="Z1189" s="2516"/>
      <c r="AA1189" s="53"/>
      <c r="AB1189" s="53"/>
      <c r="AC1189" s="53"/>
      <c r="AD1189" s="53"/>
      <c r="AE1189" s="53"/>
    </row>
    <row r="1190" spans="1:31" s="9" customFormat="1" ht="18">
      <c r="A1190" s="24">
        <v>23</v>
      </c>
      <c r="B1190" s="45"/>
      <c r="C1190" s="2197" t="s">
        <v>559</v>
      </c>
      <c r="D1190" s="2197"/>
      <c r="E1190" s="2197"/>
      <c r="F1190" s="2197"/>
      <c r="G1190" s="2197"/>
      <c r="H1190" s="2197"/>
      <c r="I1190" s="41"/>
      <c r="J1190" s="1141"/>
      <c r="K1190" s="1360"/>
      <c r="L1190" s="1363"/>
      <c r="M1190" s="1462"/>
      <c r="N1190" s="1499"/>
      <c r="O1190" s="1441"/>
      <c r="P1190" s="23"/>
      <c r="Q1190" s="53"/>
      <c r="R1190" s="2516"/>
      <c r="S1190" s="2516"/>
      <c r="T1190" s="2516"/>
      <c r="U1190" s="2516"/>
      <c r="V1190" s="2516"/>
      <c r="W1190" s="2523">
        <f t="shared" si="151"/>
        <v>0</v>
      </c>
      <c r="X1190" s="2543"/>
      <c r="Y1190" s="2516"/>
      <c r="Z1190" s="2516"/>
      <c r="AA1190" s="53"/>
      <c r="AB1190" s="53"/>
      <c r="AC1190" s="53"/>
      <c r="AD1190" s="53"/>
      <c r="AE1190" s="53"/>
    </row>
    <row r="1191" spans="1:31" s="9" customFormat="1" ht="18.75">
      <c r="A1191" s="24"/>
      <c r="B1191" s="45"/>
      <c r="C1191" s="2197"/>
      <c r="D1191" s="2197"/>
      <c r="E1191" s="2197"/>
      <c r="F1191" s="2197"/>
      <c r="G1191" s="2197"/>
      <c r="H1191" s="2197"/>
      <c r="I1191" s="41" t="s">
        <v>542</v>
      </c>
      <c r="J1191" s="1141">
        <v>30000</v>
      </c>
      <c r="K1191" s="1360">
        <f>K140</f>
        <v>1.6848999999999998</v>
      </c>
      <c r="L1191" s="1348">
        <f>SUM(J1191:K1191)</f>
        <v>30001.6849</v>
      </c>
      <c r="M1191" s="1486">
        <f>J1191/10000</f>
        <v>3</v>
      </c>
      <c r="N1191" s="1499">
        <f>N140</f>
        <v>1.6848999999999998</v>
      </c>
      <c r="O1191" s="1440">
        <f>SUM(M1191:N1191)</f>
        <v>4.6849</v>
      </c>
      <c r="P1191" s="23"/>
      <c r="Q1191" s="53"/>
      <c r="R1191" s="2516"/>
      <c r="S1191" s="2516"/>
      <c r="T1191" s="2516"/>
      <c r="U1191" s="2516"/>
      <c r="V1191" s="2516"/>
      <c r="W1191" s="2523">
        <f t="shared" si="151"/>
        <v>30000</v>
      </c>
      <c r="X1191" s="2543">
        <v>25000</v>
      </c>
      <c r="Y1191" s="2516"/>
      <c r="Z1191" s="2516"/>
      <c r="AA1191" s="53"/>
      <c r="AB1191" s="53"/>
      <c r="AC1191" s="53"/>
      <c r="AD1191" s="53"/>
      <c r="AE1191" s="53"/>
    </row>
    <row r="1192" spans="1:31" s="9" customFormat="1" ht="18">
      <c r="A1192" s="24">
        <v>24</v>
      </c>
      <c r="B1192" s="45"/>
      <c r="C1192" s="2197" t="s">
        <v>560</v>
      </c>
      <c r="D1192" s="2197"/>
      <c r="E1192" s="2197"/>
      <c r="F1192" s="2197"/>
      <c r="G1192" s="2197"/>
      <c r="H1192" s="2197"/>
      <c r="I1192" s="41"/>
      <c r="J1192" s="1141"/>
      <c r="K1192" s="1360"/>
      <c r="L1192" s="1363"/>
      <c r="M1192" s="1462"/>
      <c r="N1192" s="1499"/>
      <c r="O1192" s="1441"/>
      <c r="P1192" s="23"/>
      <c r="Q1192" s="53"/>
      <c r="R1192" s="2516"/>
      <c r="S1192" s="2516"/>
      <c r="T1192" s="2516"/>
      <c r="U1192" s="2516"/>
      <c r="V1192" s="2516"/>
      <c r="W1192" s="2523">
        <f t="shared" si="151"/>
        <v>0</v>
      </c>
      <c r="X1192" s="2543"/>
      <c r="Y1192" s="2516"/>
      <c r="Z1192" s="2516"/>
      <c r="AA1192" s="53"/>
      <c r="AB1192" s="53"/>
      <c r="AC1192" s="53"/>
      <c r="AD1192" s="53"/>
      <c r="AE1192" s="53"/>
    </row>
    <row r="1193" spans="1:31" s="9" customFormat="1" ht="18.75">
      <c r="A1193" s="24"/>
      <c r="B1193" s="45"/>
      <c r="C1193" s="2197"/>
      <c r="D1193" s="2197"/>
      <c r="E1193" s="2197"/>
      <c r="F1193" s="2197"/>
      <c r="G1193" s="2197"/>
      <c r="H1193" s="2197"/>
      <c r="I1193" s="41" t="s">
        <v>542</v>
      </c>
      <c r="J1193" s="1141">
        <v>30000</v>
      </c>
      <c r="K1193" s="1360">
        <f>K142</f>
        <v>1.6729</v>
      </c>
      <c r="L1193" s="1348">
        <f>SUM(J1193:K1193)</f>
        <v>30001.6729</v>
      </c>
      <c r="M1193" s="1486">
        <f>J1193/10000</f>
        <v>3</v>
      </c>
      <c r="N1193" s="1499">
        <f>N142</f>
        <v>1.6729</v>
      </c>
      <c r="O1193" s="1440">
        <f>SUM(M1193:N1193)</f>
        <v>4.6729</v>
      </c>
      <c r="P1193" s="23"/>
      <c r="Q1193" s="53"/>
      <c r="R1193" s="2516"/>
      <c r="S1193" s="2516"/>
      <c r="T1193" s="2516"/>
      <c r="U1193" s="2516"/>
      <c r="V1193" s="2516"/>
      <c r="W1193" s="2523">
        <f t="shared" si="151"/>
        <v>30000</v>
      </c>
      <c r="X1193" s="2543">
        <v>25000</v>
      </c>
      <c r="Y1193" s="2516"/>
      <c r="Z1193" s="2516"/>
      <c r="AA1193" s="53"/>
      <c r="AB1193" s="53"/>
      <c r="AC1193" s="53"/>
      <c r="AD1193" s="53"/>
      <c r="AE1193" s="53"/>
    </row>
    <row r="1194" spans="1:31" s="9" customFormat="1" ht="18">
      <c r="A1194" s="24">
        <v>25</v>
      </c>
      <c r="B1194" s="45"/>
      <c r="C1194" s="2197" t="s">
        <v>548</v>
      </c>
      <c r="D1194" s="2197"/>
      <c r="E1194" s="2197"/>
      <c r="F1194" s="2197"/>
      <c r="G1194" s="2197"/>
      <c r="H1194" s="2197"/>
      <c r="I1194" s="41"/>
      <c r="J1194" s="1141"/>
      <c r="K1194" s="1360"/>
      <c r="L1194" s="1363"/>
      <c r="M1194" s="1462"/>
      <c r="N1194" s="1499"/>
      <c r="O1194" s="1441"/>
      <c r="P1194" s="23"/>
      <c r="Q1194" s="53"/>
      <c r="R1194" s="2516"/>
      <c r="S1194" s="2516"/>
      <c r="T1194" s="2516"/>
      <c r="U1194" s="2516"/>
      <c r="V1194" s="2516"/>
      <c r="W1194" s="2523">
        <f t="shared" si="151"/>
        <v>0</v>
      </c>
      <c r="X1194" s="2543"/>
      <c r="Y1194" s="2516"/>
      <c r="Z1194" s="2516"/>
      <c r="AA1194" s="53"/>
      <c r="AB1194" s="53"/>
      <c r="AC1194" s="53"/>
      <c r="AD1194" s="53"/>
      <c r="AE1194" s="53"/>
    </row>
    <row r="1195" spans="1:31" s="9" customFormat="1" ht="18.75">
      <c r="A1195" s="24"/>
      <c r="B1195" s="45"/>
      <c r="C1195" s="2197"/>
      <c r="D1195" s="2197"/>
      <c r="E1195" s="2197"/>
      <c r="F1195" s="2197"/>
      <c r="G1195" s="2197"/>
      <c r="H1195" s="2197"/>
      <c r="I1195" s="41" t="s">
        <v>542</v>
      </c>
      <c r="J1195" s="1141">
        <v>30000</v>
      </c>
      <c r="K1195" s="1360">
        <f>K144</f>
        <v>1.8618999999999999</v>
      </c>
      <c r="L1195" s="1348">
        <f>SUM(J1195:K1195)</f>
        <v>30001.8619</v>
      </c>
      <c r="M1195" s="1486">
        <f>J1195/10000</f>
        <v>3</v>
      </c>
      <c r="N1195" s="1499">
        <f>N144</f>
        <v>1.8618999999999999</v>
      </c>
      <c r="O1195" s="1440">
        <f>SUM(M1195:N1195)</f>
        <v>4.8619</v>
      </c>
      <c r="P1195" s="23"/>
      <c r="Q1195" s="53"/>
      <c r="R1195" s="2516"/>
      <c r="S1195" s="2516"/>
      <c r="T1195" s="2516"/>
      <c r="U1195" s="2516"/>
      <c r="V1195" s="2516"/>
      <c r="W1195" s="2523">
        <f t="shared" si="151"/>
        <v>30000</v>
      </c>
      <c r="X1195" s="2543">
        <v>25000</v>
      </c>
      <c r="Y1195" s="2516"/>
      <c r="Z1195" s="2516"/>
      <c r="AA1195" s="53"/>
      <c r="AB1195" s="53"/>
      <c r="AC1195" s="53"/>
      <c r="AD1195" s="53"/>
      <c r="AE1195" s="53"/>
    </row>
    <row r="1196" spans="1:31" s="9" customFormat="1" ht="18">
      <c r="A1196" s="24">
        <v>26</v>
      </c>
      <c r="B1196" s="45"/>
      <c r="C1196" s="2197" t="s">
        <v>549</v>
      </c>
      <c r="D1196" s="2197"/>
      <c r="E1196" s="2197"/>
      <c r="F1196" s="2197"/>
      <c r="G1196" s="2197"/>
      <c r="H1196" s="2197"/>
      <c r="I1196" s="41"/>
      <c r="J1196" s="1141"/>
      <c r="K1196" s="1360"/>
      <c r="L1196" s="1363"/>
      <c r="M1196" s="1462"/>
      <c r="N1196" s="1499"/>
      <c r="O1196" s="1441"/>
      <c r="P1196" s="23"/>
      <c r="Q1196" s="53"/>
      <c r="R1196" s="2516"/>
      <c r="S1196" s="2516"/>
      <c r="T1196" s="2516"/>
      <c r="U1196" s="2516"/>
      <c r="V1196" s="2516"/>
      <c r="W1196" s="2523">
        <f t="shared" si="151"/>
        <v>0</v>
      </c>
      <c r="X1196" s="2543"/>
      <c r="Y1196" s="2516"/>
      <c r="Z1196" s="2516"/>
      <c r="AA1196" s="53"/>
      <c r="AB1196" s="53"/>
      <c r="AC1196" s="53"/>
      <c r="AD1196" s="53"/>
      <c r="AE1196" s="53"/>
    </row>
    <row r="1197" spans="1:31" s="9" customFormat="1" ht="18.75">
      <c r="A1197" s="24"/>
      <c r="B1197" s="45"/>
      <c r="C1197" s="2197"/>
      <c r="D1197" s="2197"/>
      <c r="E1197" s="2197"/>
      <c r="F1197" s="2197"/>
      <c r="G1197" s="2197"/>
      <c r="H1197" s="2197"/>
      <c r="I1197" s="41" t="s">
        <v>542</v>
      </c>
      <c r="J1197" s="1141">
        <v>150200</v>
      </c>
      <c r="K1197" s="1360">
        <f>K146</f>
        <v>1.6888999999999998</v>
      </c>
      <c r="L1197" s="1348">
        <f>SUM(J1197:K1197)</f>
        <v>150201.6889</v>
      </c>
      <c r="M1197" s="1486">
        <f>J1197/10000</f>
        <v>15.02</v>
      </c>
      <c r="N1197" s="1499">
        <f>N146</f>
        <v>1.6888999999999998</v>
      </c>
      <c r="O1197" s="1440">
        <f>SUM(M1197:N1197)</f>
        <v>16.7089</v>
      </c>
      <c r="P1197" s="23"/>
      <c r="Q1197" s="53"/>
      <c r="R1197" s="2516"/>
      <c r="S1197" s="2516"/>
      <c r="T1197" s="2516"/>
      <c r="U1197" s="2516"/>
      <c r="V1197" s="2516"/>
      <c r="W1197" s="2523">
        <f t="shared" si="151"/>
        <v>150240</v>
      </c>
      <c r="X1197" s="2543">
        <v>125200</v>
      </c>
      <c r="Y1197" s="2516"/>
      <c r="Z1197" s="2516"/>
      <c r="AA1197" s="53"/>
      <c r="AB1197" s="53"/>
      <c r="AC1197" s="53"/>
      <c r="AD1197" s="53"/>
      <c r="AE1197" s="53"/>
    </row>
    <row r="1198" spans="1:31" s="9" customFormat="1" ht="18">
      <c r="A1198" s="24">
        <v>27</v>
      </c>
      <c r="B1198" s="45"/>
      <c r="C1198" s="2197" t="s">
        <v>561</v>
      </c>
      <c r="D1198" s="2197"/>
      <c r="E1198" s="2197"/>
      <c r="F1198" s="2197"/>
      <c r="G1198" s="2197"/>
      <c r="H1198" s="2197"/>
      <c r="I1198" s="41"/>
      <c r="J1198" s="1141"/>
      <c r="K1198" s="1360"/>
      <c r="L1198" s="1363"/>
      <c r="M1198" s="1462"/>
      <c r="N1198" s="1499"/>
      <c r="O1198" s="1441"/>
      <c r="P1198" s="23"/>
      <c r="Q1198" s="53"/>
      <c r="R1198" s="2516"/>
      <c r="S1198" s="2516"/>
      <c r="T1198" s="2516"/>
      <c r="U1198" s="2516"/>
      <c r="V1198" s="2516"/>
      <c r="W1198" s="2523">
        <f t="shared" si="151"/>
        <v>0</v>
      </c>
      <c r="X1198" s="2543"/>
      <c r="Y1198" s="2516"/>
      <c r="Z1198" s="2516"/>
      <c r="AA1198" s="53"/>
      <c r="AB1198" s="53"/>
      <c r="AC1198" s="53"/>
      <c r="AD1198" s="53"/>
      <c r="AE1198" s="53"/>
    </row>
    <row r="1199" spans="1:31" s="9" customFormat="1" ht="18.75">
      <c r="A1199" s="24"/>
      <c r="B1199" s="45"/>
      <c r="C1199" s="2197"/>
      <c r="D1199" s="2197"/>
      <c r="E1199" s="2197"/>
      <c r="F1199" s="2197"/>
      <c r="G1199" s="2197"/>
      <c r="H1199" s="2197"/>
      <c r="I1199" s="41" t="s">
        <v>542</v>
      </c>
      <c r="J1199" s="1141">
        <v>30000</v>
      </c>
      <c r="K1199" s="1360">
        <f>K148</f>
        <v>1.6929000000000003</v>
      </c>
      <c r="L1199" s="1348">
        <f>SUM(J1199:K1199)</f>
        <v>30001.6929</v>
      </c>
      <c r="M1199" s="1486">
        <f>J1199/10000</f>
        <v>3</v>
      </c>
      <c r="N1199" s="1499">
        <f>N148</f>
        <v>1.6929000000000003</v>
      </c>
      <c r="O1199" s="1440">
        <f>SUM(M1199:N1199)</f>
        <v>4.6929</v>
      </c>
      <c r="P1199" s="23"/>
      <c r="Q1199" s="53"/>
      <c r="R1199" s="2516"/>
      <c r="S1199" s="2516"/>
      <c r="T1199" s="2516"/>
      <c r="U1199" s="2516"/>
      <c r="V1199" s="2516"/>
      <c r="W1199" s="2523">
        <f t="shared" si="151"/>
        <v>30000</v>
      </c>
      <c r="X1199" s="2543">
        <v>25000</v>
      </c>
      <c r="Y1199" s="2516"/>
      <c r="Z1199" s="2516"/>
      <c r="AA1199" s="53"/>
      <c r="AB1199" s="53"/>
      <c r="AC1199" s="53"/>
      <c r="AD1199" s="53"/>
      <c r="AE1199" s="53"/>
    </row>
    <row r="1200" spans="1:31" s="9" customFormat="1" ht="18.75">
      <c r="A1200" s="24"/>
      <c r="B1200" s="45"/>
      <c r="C1200" s="2197"/>
      <c r="D1200" s="2197"/>
      <c r="E1200" s="2197"/>
      <c r="F1200" s="2197"/>
      <c r="G1200" s="2197"/>
      <c r="H1200" s="2197"/>
      <c r="I1200" s="41"/>
      <c r="J1200" s="1141"/>
      <c r="K1200" s="1360"/>
      <c r="L1200" s="1348"/>
      <c r="M1200" s="1462"/>
      <c r="N1200" s="1499"/>
      <c r="O1200" s="1440"/>
      <c r="P1200" s="23"/>
      <c r="Q1200" s="53"/>
      <c r="R1200" s="2516"/>
      <c r="S1200" s="2516"/>
      <c r="T1200" s="2516"/>
      <c r="U1200" s="2516"/>
      <c r="V1200" s="2516"/>
      <c r="W1200" s="2523">
        <f t="shared" si="151"/>
        <v>0</v>
      </c>
      <c r="X1200" s="2543"/>
      <c r="Y1200" s="2516"/>
      <c r="Z1200" s="2516"/>
      <c r="AA1200" s="53"/>
      <c r="AB1200" s="53"/>
      <c r="AC1200" s="53"/>
      <c r="AD1200" s="53"/>
      <c r="AE1200" s="53"/>
    </row>
    <row r="1201" spans="1:31" s="9" customFormat="1" ht="18">
      <c r="A1201" s="24">
        <v>28</v>
      </c>
      <c r="B1201" s="45"/>
      <c r="C1201" s="2197" t="s">
        <v>562</v>
      </c>
      <c r="D1201" s="2197"/>
      <c r="E1201" s="2197"/>
      <c r="F1201" s="2197"/>
      <c r="G1201" s="2197"/>
      <c r="H1201" s="2197"/>
      <c r="I1201" s="41"/>
      <c r="J1201" s="1141"/>
      <c r="K1201" s="1360"/>
      <c r="L1201" s="1363"/>
      <c r="M1201" s="1462"/>
      <c r="N1201" s="1499"/>
      <c r="O1201" s="1441"/>
      <c r="P1201" s="23"/>
      <c r="Q1201" s="53"/>
      <c r="R1201" s="2516"/>
      <c r="S1201" s="2516"/>
      <c r="T1201" s="2516"/>
      <c r="U1201" s="2516"/>
      <c r="V1201" s="2516"/>
      <c r="W1201" s="2523">
        <f t="shared" si="151"/>
        <v>0</v>
      </c>
      <c r="X1201" s="2543"/>
      <c r="Y1201" s="2516"/>
      <c r="Z1201" s="2516"/>
      <c r="AA1201" s="53"/>
      <c r="AB1201" s="53"/>
      <c r="AC1201" s="53"/>
      <c r="AD1201" s="53"/>
      <c r="AE1201" s="53"/>
    </row>
    <row r="1202" spans="1:31" s="9" customFormat="1" ht="18.75">
      <c r="A1202" s="24"/>
      <c r="B1202" s="45"/>
      <c r="C1202" s="2197"/>
      <c r="D1202" s="2197"/>
      <c r="E1202" s="2197"/>
      <c r="F1202" s="2197"/>
      <c r="G1202" s="2197"/>
      <c r="H1202" s="2197"/>
      <c r="I1202" s="41" t="s">
        <v>542</v>
      </c>
      <c r="J1202" s="1141">
        <v>30000</v>
      </c>
      <c r="K1202" s="1360">
        <f>K151</f>
        <v>1.6929000000000003</v>
      </c>
      <c r="L1202" s="1348">
        <f>SUM(J1202:K1202)</f>
        <v>30001.6929</v>
      </c>
      <c r="M1202" s="1486">
        <f>J1202/10000</f>
        <v>3</v>
      </c>
      <c r="N1202" s="1499">
        <f>N151</f>
        <v>1.6929000000000003</v>
      </c>
      <c r="O1202" s="1440">
        <f>SUM(M1202:N1202)</f>
        <v>4.6929</v>
      </c>
      <c r="P1202" s="23"/>
      <c r="Q1202" s="53"/>
      <c r="R1202" s="2516"/>
      <c r="S1202" s="2516"/>
      <c r="T1202" s="2516"/>
      <c r="U1202" s="2516"/>
      <c r="V1202" s="2516"/>
      <c r="W1202" s="2523">
        <f t="shared" si="151"/>
        <v>30000</v>
      </c>
      <c r="X1202" s="2543">
        <v>25000</v>
      </c>
      <c r="Y1202" s="2516"/>
      <c r="Z1202" s="2516"/>
      <c r="AA1202" s="53"/>
      <c r="AB1202" s="53"/>
      <c r="AC1202" s="53"/>
      <c r="AD1202" s="53"/>
      <c r="AE1202" s="53"/>
    </row>
    <row r="1203" spans="1:31" s="9" customFormat="1" ht="18.75">
      <c r="A1203" s="24"/>
      <c r="B1203" s="45"/>
      <c r="C1203" s="2197"/>
      <c r="D1203" s="2197"/>
      <c r="E1203" s="2197"/>
      <c r="F1203" s="2197"/>
      <c r="G1203" s="2197"/>
      <c r="H1203" s="2197"/>
      <c r="I1203" s="41"/>
      <c r="J1203" s="1141"/>
      <c r="K1203" s="1360"/>
      <c r="L1203" s="1348"/>
      <c r="M1203" s="1462"/>
      <c r="N1203" s="1499"/>
      <c r="O1203" s="1440"/>
      <c r="P1203" s="23"/>
      <c r="Q1203" s="53"/>
      <c r="R1203" s="2516"/>
      <c r="S1203" s="2516"/>
      <c r="T1203" s="2516"/>
      <c r="U1203" s="2516"/>
      <c r="V1203" s="2516"/>
      <c r="W1203" s="2523">
        <f t="shared" si="151"/>
        <v>0</v>
      </c>
      <c r="X1203" s="2543"/>
      <c r="Y1203" s="2516"/>
      <c r="Z1203" s="2516"/>
      <c r="AA1203" s="53"/>
      <c r="AB1203" s="53"/>
      <c r="AC1203" s="53"/>
      <c r="AD1203" s="53"/>
      <c r="AE1203" s="53"/>
    </row>
    <row r="1204" spans="1:31" s="9" customFormat="1" ht="18.75">
      <c r="A1204" s="24">
        <v>29</v>
      </c>
      <c r="B1204" s="45"/>
      <c r="C1204" s="126" t="s">
        <v>550</v>
      </c>
      <c r="D1204" s="126"/>
      <c r="E1204" s="126"/>
      <c r="F1204" s="126"/>
      <c r="G1204" s="126"/>
      <c r="H1204" s="126"/>
      <c r="I1204" s="41" t="s">
        <v>542</v>
      </c>
      <c r="J1204" s="1141">
        <v>28800</v>
      </c>
      <c r="K1204" s="1360">
        <f>K153</f>
        <v>1.6929000000000003</v>
      </c>
      <c r="L1204" s="1348">
        <f>SUM(J1204:K1204)</f>
        <v>28801.6929</v>
      </c>
      <c r="M1204" s="1486">
        <f>J1204/10000</f>
        <v>2.88</v>
      </c>
      <c r="N1204" s="1499">
        <f>N153</f>
        <v>1.6929000000000003</v>
      </c>
      <c r="O1204" s="1440">
        <f>SUM(M1204:N1204)</f>
        <v>4.572900000000001</v>
      </c>
      <c r="P1204" s="23"/>
      <c r="Q1204" s="53"/>
      <c r="R1204" s="2516"/>
      <c r="S1204" s="2516"/>
      <c r="T1204" s="2516"/>
      <c r="U1204" s="2516"/>
      <c r="V1204" s="2516"/>
      <c r="W1204" s="2523">
        <f t="shared" si="151"/>
        <v>28800</v>
      </c>
      <c r="X1204" s="2543">
        <v>24000</v>
      </c>
      <c r="Y1204" s="2516"/>
      <c r="Z1204" s="2516"/>
      <c r="AA1204" s="53"/>
      <c r="AB1204" s="53"/>
      <c r="AC1204" s="53"/>
      <c r="AD1204" s="53"/>
      <c r="AE1204" s="53"/>
    </row>
    <row r="1205" spans="1:31" s="9" customFormat="1" ht="18.75">
      <c r="A1205" s="24">
        <v>30</v>
      </c>
      <c r="B1205" s="45"/>
      <c r="C1205" s="126" t="s">
        <v>563</v>
      </c>
      <c r="D1205" s="126"/>
      <c r="E1205" s="126"/>
      <c r="F1205" s="126"/>
      <c r="G1205" s="126"/>
      <c r="H1205" s="126"/>
      <c r="I1205" s="41" t="s">
        <v>542</v>
      </c>
      <c r="J1205" s="1141">
        <v>31900</v>
      </c>
      <c r="K1205" s="1360">
        <f>K154</f>
        <v>2.37</v>
      </c>
      <c r="L1205" s="1348">
        <f>SUM(J1205:K1205)</f>
        <v>31902.37</v>
      </c>
      <c r="M1205" s="1486">
        <f>J1205/10000</f>
        <v>3.19</v>
      </c>
      <c r="N1205" s="1499">
        <f>N154</f>
        <v>2.37</v>
      </c>
      <c r="O1205" s="1440">
        <f>SUM(M1205:N1205)</f>
        <v>5.5600000000000005</v>
      </c>
      <c r="P1205" s="23"/>
      <c r="Q1205" s="53"/>
      <c r="R1205" s="2516"/>
      <c r="S1205" s="2516"/>
      <c r="T1205" s="2516"/>
      <c r="U1205" s="2516"/>
      <c r="V1205" s="2516"/>
      <c r="W1205" s="2523">
        <f t="shared" si="151"/>
        <v>31920</v>
      </c>
      <c r="X1205" s="2543">
        <v>26600</v>
      </c>
      <c r="Y1205" s="2516"/>
      <c r="Z1205" s="2516"/>
      <c r="AA1205" s="53"/>
      <c r="AB1205" s="53"/>
      <c r="AC1205" s="53"/>
      <c r="AD1205" s="53"/>
      <c r="AE1205" s="53"/>
    </row>
    <row r="1206" spans="1:31" s="9" customFormat="1" ht="18.75">
      <c r="A1206" s="24">
        <v>31</v>
      </c>
      <c r="B1206" s="45"/>
      <c r="C1206" s="126" t="s">
        <v>564</v>
      </c>
      <c r="D1206" s="126"/>
      <c r="E1206" s="126"/>
      <c r="F1206" s="126"/>
      <c r="G1206" s="126"/>
      <c r="H1206" s="126"/>
      <c r="I1206" s="41" t="s">
        <v>542</v>
      </c>
      <c r="J1206" s="1141">
        <v>31900</v>
      </c>
      <c r="K1206" s="1360">
        <f>K155</f>
        <v>1.7930000000000001</v>
      </c>
      <c r="L1206" s="1348">
        <f>SUM(J1206:K1206)</f>
        <v>31901.793</v>
      </c>
      <c r="M1206" s="1486">
        <f>J1206/10000</f>
        <v>3.19</v>
      </c>
      <c r="N1206" s="1499">
        <f>N155</f>
        <v>1.7930000000000001</v>
      </c>
      <c r="O1206" s="1440">
        <f>SUM(M1206:N1206)</f>
        <v>4.9830000000000005</v>
      </c>
      <c r="P1206" s="23"/>
      <c r="Q1206" s="53"/>
      <c r="R1206" s="2516"/>
      <c r="S1206" s="2516"/>
      <c r="T1206" s="2516"/>
      <c r="U1206" s="2516"/>
      <c r="V1206" s="2516"/>
      <c r="W1206" s="2523">
        <f>X1206*1.2</f>
        <v>31920</v>
      </c>
      <c r="X1206" s="2543">
        <v>26600</v>
      </c>
      <c r="Y1206" s="2516"/>
      <c r="Z1206" s="2516"/>
      <c r="AA1206" s="53"/>
      <c r="AB1206" s="53"/>
      <c r="AC1206" s="53"/>
      <c r="AD1206" s="53"/>
      <c r="AE1206" s="53"/>
    </row>
    <row r="1207" spans="1:31" s="9" customFormat="1" ht="18">
      <c r="A1207" s="24">
        <v>32</v>
      </c>
      <c r="B1207" s="45"/>
      <c r="C1207" s="2197" t="s">
        <v>565</v>
      </c>
      <c r="D1207" s="2197"/>
      <c r="E1207" s="2197"/>
      <c r="F1207" s="2197"/>
      <c r="G1207" s="2197"/>
      <c r="H1207" s="2197"/>
      <c r="I1207" s="41"/>
      <c r="J1207" s="1141"/>
      <c r="K1207" s="1360"/>
      <c r="L1207" s="1363"/>
      <c r="M1207" s="1462"/>
      <c r="N1207" s="1499"/>
      <c r="O1207" s="1441"/>
      <c r="P1207" s="23"/>
      <c r="Q1207" s="53"/>
      <c r="R1207" s="2516"/>
      <c r="S1207" s="2516"/>
      <c r="T1207" s="2516"/>
      <c r="U1207" s="2516"/>
      <c r="V1207" s="2516"/>
      <c r="W1207" s="2523">
        <f>X1207*1.2</f>
        <v>0</v>
      </c>
      <c r="X1207" s="2543"/>
      <c r="Y1207" s="2516"/>
      <c r="Z1207" s="2516"/>
      <c r="AA1207" s="53"/>
      <c r="AB1207" s="53"/>
      <c r="AC1207" s="53"/>
      <c r="AD1207" s="53"/>
      <c r="AE1207" s="53"/>
    </row>
    <row r="1208" spans="1:31" s="9" customFormat="1" ht="18.75">
      <c r="A1208" s="11"/>
      <c r="B1208" s="43"/>
      <c r="C1208" s="2197"/>
      <c r="D1208" s="2197"/>
      <c r="E1208" s="2197"/>
      <c r="F1208" s="2197"/>
      <c r="G1208" s="2197"/>
      <c r="H1208" s="2197"/>
      <c r="I1208" s="41" t="s">
        <v>542</v>
      </c>
      <c r="J1208" s="1141">
        <v>43000</v>
      </c>
      <c r="K1208" s="1360">
        <f>K157</f>
        <v>1.0975000000000001</v>
      </c>
      <c r="L1208" s="1348">
        <f>SUM(J1208:K1208)</f>
        <v>43001.0975</v>
      </c>
      <c r="M1208" s="1486">
        <f>J1208/10000</f>
        <v>4.3</v>
      </c>
      <c r="N1208" s="1499">
        <f>N157</f>
        <v>1.0975000000000001</v>
      </c>
      <c r="O1208" s="1440">
        <f>SUM(M1208:N1208)</f>
        <v>5.3975</v>
      </c>
      <c r="P1208" s="23"/>
      <c r="Q1208" s="53"/>
      <c r="R1208" s="2516"/>
      <c r="S1208" s="2516"/>
      <c r="T1208" s="2516"/>
      <c r="U1208" s="2516"/>
      <c r="V1208" s="2516"/>
      <c r="W1208" s="2523">
        <f>X1208*1.2</f>
        <v>42960</v>
      </c>
      <c r="X1208" s="2543">
        <v>35800</v>
      </c>
      <c r="Y1208" s="2516"/>
      <c r="Z1208" s="2516"/>
      <c r="AA1208" s="53"/>
      <c r="AB1208" s="53"/>
      <c r="AC1208" s="53"/>
      <c r="AD1208" s="53"/>
      <c r="AE1208" s="53"/>
    </row>
    <row r="1209" spans="1:31" s="9" customFormat="1" ht="18.75">
      <c r="A1209" s="128"/>
      <c r="B1209" s="141"/>
      <c r="C1209" s="142"/>
      <c r="D1209" s="89"/>
      <c r="E1209" s="89"/>
      <c r="F1209" s="89"/>
      <c r="G1209" s="89"/>
      <c r="H1209" s="89"/>
      <c r="I1209" s="715"/>
      <c r="J1209" s="1143"/>
      <c r="K1209" s="1362"/>
      <c r="L1209" s="1353"/>
      <c r="M1209" s="1507"/>
      <c r="N1209" s="1508"/>
      <c r="O1209" s="1461"/>
      <c r="P1209" s="23"/>
      <c r="Q1209" s="53"/>
      <c r="R1209" s="2516"/>
      <c r="S1209" s="2516"/>
      <c r="T1209" s="2516"/>
      <c r="U1209" s="2516"/>
      <c r="V1209" s="2516"/>
      <c r="W1209" s="2523">
        <f>X1209*1.2</f>
        <v>0</v>
      </c>
      <c r="X1209" s="2543"/>
      <c r="Y1209" s="2516"/>
      <c r="Z1209" s="2516"/>
      <c r="AA1209" s="53"/>
      <c r="AB1209" s="53"/>
      <c r="AC1209" s="53"/>
      <c r="AD1209" s="53"/>
      <c r="AE1209" s="53"/>
    </row>
    <row r="1210" spans="1:31" s="1179" customFormat="1" ht="31.5">
      <c r="A1210" s="1172"/>
      <c r="B1210" s="1173"/>
      <c r="C1210" s="1174"/>
      <c r="D1210" s="1175"/>
      <c r="E1210" s="1175"/>
      <c r="F1210" s="1175"/>
      <c r="G1210" s="1175"/>
      <c r="H1210" s="1175"/>
      <c r="I1210" s="1172"/>
      <c r="J1210" s="1176"/>
      <c r="K1210" s="1177"/>
      <c r="L1210" s="1178"/>
      <c r="M1210" s="1176"/>
      <c r="N1210" s="1177"/>
      <c r="O1210" s="1178"/>
      <c r="P1210" s="1178"/>
      <c r="Q1210" s="1178"/>
      <c r="R1210" s="2520"/>
      <c r="S1210" s="2520"/>
      <c r="T1210" s="2520"/>
      <c r="U1210" s="2520"/>
      <c r="V1210" s="2520"/>
      <c r="W1210" s="2521"/>
      <c r="X1210" s="2522"/>
      <c r="Y1210" s="2520"/>
      <c r="Z1210" s="2520"/>
      <c r="AA1210" s="1178"/>
      <c r="AB1210" s="1178"/>
      <c r="AC1210" s="1178"/>
      <c r="AD1210" s="1178"/>
      <c r="AE1210" s="1178"/>
    </row>
    <row r="1211" spans="1:31" s="1179" customFormat="1" ht="31.5">
      <c r="A1211" s="1172"/>
      <c r="B1211" s="1173"/>
      <c r="C1211" s="1174"/>
      <c r="D1211" s="1175"/>
      <c r="E1211" s="1175"/>
      <c r="F1211" s="1175"/>
      <c r="G1211" s="1175"/>
      <c r="H1211" s="1175"/>
      <c r="I1211" s="1172"/>
      <c r="J1211" s="1176"/>
      <c r="K1211" s="1177"/>
      <c r="L1211" s="1178"/>
      <c r="M1211" s="1176"/>
      <c r="N1211" s="1177"/>
      <c r="O1211" s="1178"/>
      <c r="P1211" s="1178"/>
      <c r="Q1211" s="1178"/>
      <c r="R1211" s="2520"/>
      <c r="S1211" s="2520"/>
      <c r="T1211" s="2520"/>
      <c r="U1211" s="2520"/>
      <c r="V1211" s="2520"/>
      <c r="W1211" s="2521"/>
      <c r="X1211" s="2522"/>
      <c r="Y1211" s="2520"/>
      <c r="Z1211" s="2520"/>
      <c r="AA1211" s="1178"/>
      <c r="AB1211" s="1178"/>
      <c r="AC1211" s="1178"/>
      <c r="AD1211" s="1178"/>
      <c r="AE1211" s="1178"/>
    </row>
    <row r="1212" spans="1:31" ht="16.5">
      <c r="A1212" s="955" t="s">
        <v>391</v>
      </c>
      <c r="B1212" s="17"/>
      <c r="C1212" s="17"/>
      <c r="D1212" s="17"/>
      <c r="E1212" s="17"/>
      <c r="I1212" s="714"/>
      <c r="J1212" s="621"/>
      <c r="K1212" s="130"/>
      <c r="L1212" s="112"/>
      <c r="M1212" s="621"/>
      <c r="N1212" s="130" t="s">
        <v>10</v>
      </c>
      <c r="O1212" s="112"/>
      <c r="X1212" s="2524"/>
      <c r="AA1212" s="65"/>
      <c r="AB1212" s="65"/>
      <c r="AC1212" s="65"/>
      <c r="AD1212" s="65"/>
      <c r="AE1212" s="65"/>
    </row>
    <row r="1213" spans="1:31" s="1171" customFormat="1" ht="18.75">
      <c r="A1213" s="1165"/>
      <c r="B1213" s="101"/>
      <c r="C1213" s="101"/>
      <c r="D1213" s="101"/>
      <c r="E1213" s="101"/>
      <c r="F1213" s="101"/>
      <c r="G1213" s="101"/>
      <c r="H1213" s="101" t="s">
        <v>321</v>
      </c>
      <c r="I1213" s="1166"/>
      <c r="J1213" s="1167"/>
      <c r="K1213" s="1168"/>
      <c r="L1213" s="1169"/>
      <c r="M1213" s="1167"/>
      <c r="N1213" s="1168"/>
      <c r="O1213" s="1169"/>
      <c r="P1213" s="1170"/>
      <c r="Q1213" s="1170"/>
      <c r="R1213" s="2525"/>
      <c r="S1213" s="2525"/>
      <c r="T1213" s="2525"/>
      <c r="U1213" s="2525"/>
      <c r="V1213" s="2525"/>
      <c r="W1213" s="2526"/>
      <c r="X1213" s="2527"/>
      <c r="Y1213" s="2525"/>
      <c r="Z1213" s="2525"/>
      <c r="AA1213" s="1170"/>
      <c r="AB1213" s="1170"/>
      <c r="AC1213" s="1170"/>
      <c r="AD1213" s="1170"/>
      <c r="AE1213" s="1170"/>
    </row>
    <row r="1214" spans="1:31" s="1171" customFormat="1" ht="18.75">
      <c r="A1214" s="1165"/>
      <c r="B1214" s="101"/>
      <c r="C1214" s="101"/>
      <c r="D1214" s="101"/>
      <c r="E1214" s="101"/>
      <c r="F1214" s="101"/>
      <c r="G1214" s="101"/>
      <c r="H1214" s="101"/>
      <c r="I1214" s="1166"/>
      <c r="J1214" s="1167"/>
      <c r="K1214" s="1168"/>
      <c r="L1214" s="1169"/>
      <c r="M1214" s="1167"/>
      <c r="N1214" s="1168"/>
      <c r="O1214" s="1169"/>
      <c r="P1214" s="1170"/>
      <c r="Q1214" s="1170"/>
      <c r="R1214" s="2525"/>
      <c r="S1214" s="2525"/>
      <c r="T1214" s="2525"/>
      <c r="U1214" s="2525"/>
      <c r="V1214" s="2525"/>
      <c r="W1214" s="2526"/>
      <c r="X1214" s="2527"/>
      <c r="Y1214" s="2525"/>
      <c r="Z1214" s="2525"/>
      <c r="AA1214" s="1170"/>
      <c r="AB1214" s="1170"/>
      <c r="AC1214" s="1170"/>
      <c r="AD1214" s="1170"/>
      <c r="AE1214" s="1170"/>
    </row>
    <row r="1215" spans="1:31" ht="15">
      <c r="A1215" s="955" t="s">
        <v>152</v>
      </c>
      <c r="B1215" s="113"/>
      <c r="C1215" s="114"/>
      <c r="D1215" s="114"/>
      <c r="E1215" s="114"/>
      <c r="F1215" s="114"/>
      <c r="G1215" s="115"/>
      <c r="H1215" s="113"/>
      <c r="I1215" s="113"/>
      <c r="J1215" s="622"/>
      <c r="K1215" s="625"/>
      <c r="L1215" s="114"/>
      <c r="M1215" s="622"/>
      <c r="N1215" s="625" t="s">
        <v>176</v>
      </c>
      <c r="O1215" s="114"/>
      <c r="X1215" s="2517"/>
      <c r="AA1215" s="65"/>
      <c r="AB1215" s="65"/>
      <c r="AC1215" s="65"/>
      <c r="AD1215" s="65"/>
      <c r="AE1215" s="65"/>
    </row>
    <row r="1216" spans="1:31" s="1164" customFormat="1" ht="18">
      <c r="A1216" s="1165"/>
      <c r="B1216" s="1160"/>
      <c r="C1216" s="1159"/>
      <c r="D1216" s="1159"/>
      <c r="E1216" s="1159"/>
      <c r="F1216" s="1159"/>
      <c r="G1216" s="1160"/>
      <c r="H1216" s="1160"/>
      <c r="I1216" s="1160"/>
      <c r="J1216" s="1161"/>
      <c r="K1216" s="1162"/>
      <c r="L1216" s="1159"/>
      <c r="M1216" s="1161"/>
      <c r="N1216" s="1162"/>
      <c r="O1216" s="1159"/>
      <c r="P1216" s="1163"/>
      <c r="Q1216" s="1163"/>
      <c r="R1216" s="2525"/>
      <c r="S1216" s="2525"/>
      <c r="T1216" s="2525"/>
      <c r="U1216" s="2525"/>
      <c r="V1216" s="2525"/>
      <c r="W1216" s="2526"/>
      <c r="X1216" s="2534"/>
      <c r="Y1216" s="2525"/>
      <c r="Z1216" s="2525"/>
      <c r="AA1216" s="1163"/>
      <c r="AB1216" s="1163"/>
      <c r="AC1216" s="1163"/>
      <c r="AD1216" s="1163"/>
      <c r="AE1216" s="1163"/>
    </row>
    <row r="1217" spans="1:31" s="1164" customFormat="1" ht="18">
      <c r="A1217" s="1165"/>
      <c r="B1217" s="1160"/>
      <c r="C1217" s="1159"/>
      <c r="D1217" s="1159"/>
      <c r="E1217" s="1159"/>
      <c r="F1217" s="1159"/>
      <c r="G1217" s="1160"/>
      <c r="H1217" s="1160"/>
      <c r="I1217" s="1160"/>
      <c r="J1217" s="1161"/>
      <c r="K1217" s="1162"/>
      <c r="L1217" s="1159"/>
      <c r="M1217" s="1161"/>
      <c r="N1217" s="1162"/>
      <c r="O1217" s="1159"/>
      <c r="P1217" s="1163"/>
      <c r="Q1217" s="1163"/>
      <c r="R1217" s="2525"/>
      <c r="S1217" s="2525"/>
      <c r="T1217" s="2525"/>
      <c r="U1217" s="2525"/>
      <c r="V1217" s="2525"/>
      <c r="W1217" s="2526"/>
      <c r="X1217" s="2534"/>
      <c r="Y1217" s="2525"/>
      <c r="Z1217" s="2525"/>
      <c r="AA1217" s="1163"/>
      <c r="AB1217" s="1163"/>
      <c r="AC1217" s="1163"/>
      <c r="AD1217" s="1163"/>
      <c r="AE1217" s="1163"/>
    </row>
    <row r="1218" spans="1:31" ht="15">
      <c r="A1218" s="952" t="s">
        <v>829</v>
      </c>
      <c r="B1218" s="116"/>
      <c r="C1218" s="116"/>
      <c r="D1218" s="116"/>
      <c r="E1218" s="116"/>
      <c r="F1218" s="116"/>
      <c r="G1218" s="117"/>
      <c r="H1218" s="117"/>
      <c r="I1218" s="117"/>
      <c r="J1218" s="623"/>
      <c r="K1218" s="625"/>
      <c r="L1218" s="116"/>
      <c r="M1218" s="623"/>
      <c r="N1218" s="625" t="s">
        <v>830</v>
      </c>
      <c r="O1218" s="116"/>
      <c r="X1218" s="2512"/>
      <c r="AA1218" s="65"/>
      <c r="AB1218" s="65"/>
      <c r="AC1218" s="65"/>
      <c r="AD1218" s="65"/>
      <c r="AE1218" s="65"/>
    </row>
    <row r="1219" spans="1:31" s="1164" customFormat="1" ht="18">
      <c r="A1219" s="1158"/>
      <c r="B1219" s="1159"/>
      <c r="C1219" s="1159"/>
      <c r="D1219" s="1159"/>
      <c r="E1219" s="1159"/>
      <c r="F1219" s="1159"/>
      <c r="G1219" s="1160"/>
      <c r="H1219" s="1160"/>
      <c r="I1219" s="1160"/>
      <c r="J1219" s="1161"/>
      <c r="K1219" s="1162"/>
      <c r="L1219" s="1159"/>
      <c r="M1219" s="1161"/>
      <c r="N1219" s="1162"/>
      <c r="O1219" s="1159"/>
      <c r="P1219" s="1163"/>
      <c r="Q1219" s="1163"/>
      <c r="R1219" s="2525"/>
      <c r="S1219" s="2525"/>
      <c r="T1219" s="2525"/>
      <c r="U1219" s="2525"/>
      <c r="V1219" s="2525"/>
      <c r="W1219" s="2526"/>
      <c r="X1219" s="2534"/>
      <c r="Y1219" s="2525"/>
      <c r="Z1219" s="2525"/>
      <c r="AA1219" s="1163"/>
      <c r="AB1219" s="1163"/>
      <c r="AC1219" s="1163"/>
      <c r="AD1219" s="1163"/>
      <c r="AE1219" s="1163"/>
    </row>
    <row r="1220" spans="1:31" s="1164" customFormat="1" ht="18">
      <c r="A1220" s="1158"/>
      <c r="B1220" s="1159"/>
      <c r="C1220" s="1159"/>
      <c r="D1220" s="1159"/>
      <c r="E1220" s="1159"/>
      <c r="F1220" s="1159"/>
      <c r="G1220" s="1160"/>
      <c r="H1220" s="1160"/>
      <c r="I1220" s="1160"/>
      <c r="J1220" s="1161"/>
      <c r="K1220" s="1162"/>
      <c r="L1220" s="1159"/>
      <c r="M1220" s="1161"/>
      <c r="N1220" s="1162"/>
      <c r="O1220" s="1159"/>
      <c r="P1220" s="1163"/>
      <c r="Q1220" s="1163"/>
      <c r="R1220" s="2525"/>
      <c r="S1220" s="2525"/>
      <c r="T1220" s="2525"/>
      <c r="U1220" s="2525"/>
      <c r="V1220" s="2525"/>
      <c r="W1220" s="2526"/>
      <c r="X1220" s="2534"/>
      <c r="Y1220" s="2525"/>
      <c r="Z1220" s="2525"/>
      <c r="AA1220" s="1163"/>
      <c r="AB1220" s="1163"/>
      <c r="AC1220" s="1163"/>
      <c r="AD1220" s="1163"/>
      <c r="AE1220" s="1163"/>
    </row>
    <row r="1221" spans="1:31" ht="15">
      <c r="A1221" s="952" t="s">
        <v>831</v>
      </c>
      <c r="B1221" s="116"/>
      <c r="C1221" s="116"/>
      <c r="D1221" s="116"/>
      <c r="E1221" s="116"/>
      <c r="F1221" s="116"/>
      <c r="G1221" s="117"/>
      <c r="H1221" s="117"/>
      <c r="I1221" s="117"/>
      <c r="J1221" s="623"/>
      <c r="K1221" s="625"/>
      <c r="L1221" s="116"/>
      <c r="M1221" s="623"/>
      <c r="N1221" s="625" t="s">
        <v>832</v>
      </c>
      <c r="O1221" s="116"/>
      <c r="X1221" s="2512"/>
      <c r="AA1221" s="65"/>
      <c r="AB1221" s="65"/>
      <c r="AC1221" s="65"/>
      <c r="AD1221" s="65"/>
      <c r="AE1221" s="65"/>
    </row>
    <row r="1222" spans="1:31" ht="15">
      <c r="A1222" s="952"/>
      <c r="B1222" s="116"/>
      <c r="C1222" s="116"/>
      <c r="D1222" s="116"/>
      <c r="E1222" s="116"/>
      <c r="F1222" s="116"/>
      <c r="G1222" s="117"/>
      <c r="H1222" s="117"/>
      <c r="I1222" s="117"/>
      <c r="J1222" s="623"/>
      <c r="K1222" s="625"/>
      <c r="L1222" s="116"/>
      <c r="M1222" s="623"/>
      <c r="N1222" s="625"/>
      <c r="O1222" s="116"/>
      <c r="X1222" s="2512"/>
      <c r="AA1222" s="65"/>
      <c r="AB1222" s="65"/>
      <c r="AC1222" s="65"/>
      <c r="AD1222" s="65"/>
      <c r="AE1222" s="65"/>
    </row>
    <row r="1223" spans="1:31" ht="15">
      <c r="A1223" s="952"/>
      <c r="B1223" s="116"/>
      <c r="C1223" s="116"/>
      <c r="D1223" s="116"/>
      <c r="E1223" s="116"/>
      <c r="F1223" s="116"/>
      <c r="G1223" s="117"/>
      <c r="H1223" s="117"/>
      <c r="I1223" s="117"/>
      <c r="J1223" s="623"/>
      <c r="K1223" s="625"/>
      <c r="L1223" s="116"/>
      <c r="M1223" s="623"/>
      <c r="N1223" s="625"/>
      <c r="O1223" s="116"/>
      <c r="X1223" s="2512"/>
      <c r="AA1223" s="65"/>
      <c r="AB1223" s="65"/>
      <c r="AC1223" s="65"/>
      <c r="AD1223" s="65"/>
      <c r="AE1223" s="65"/>
    </row>
    <row r="1224" spans="1:31" ht="15">
      <c r="A1224" s="952"/>
      <c r="B1224" s="116"/>
      <c r="C1224" s="116"/>
      <c r="D1224" s="116"/>
      <c r="E1224" s="116"/>
      <c r="F1224" s="116"/>
      <c r="G1224" s="117"/>
      <c r="H1224" s="117"/>
      <c r="I1224" s="117"/>
      <c r="J1224" s="623"/>
      <c r="K1224" s="625"/>
      <c r="L1224" s="116"/>
      <c r="M1224" s="623"/>
      <c r="N1224" s="625"/>
      <c r="O1224" s="116"/>
      <c r="X1224" s="2512"/>
      <c r="AA1224" s="65"/>
      <c r="AB1224" s="65"/>
      <c r="AC1224" s="65"/>
      <c r="AD1224" s="65"/>
      <c r="AE1224" s="65"/>
    </row>
    <row r="1225" spans="1:31" ht="15">
      <c r="A1225" s="952"/>
      <c r="B1225" s="116"/>
      <c r="C1225" s="116"/>
      <c r="D1225" s="116"/>
      <c r="E1225" s="116"/>
      <c r="F1225" s="116"/>
      <c r="G1225" s="117"/>
      <c r="H1225" s="117"/>
      <c r="I1225" s="117"/>
      <c r="J1225" s="623"/>
      <c r="K1225" s="625"/>
      <c r="L1225" s="116"/>
      <c r="M1225" s="623"/>
      <c r="N1225" s="625"/>
      <c r="O1225" s="116"/>
      <c r="X1225" s="2512"/>
      <c r="AA1225" s="65"/>
      <c r="AB1225" s="65"/>
      <c r="AC1225" s="65"/>
      <c r="AD1225" s="65"/>
      <c r="AE1225" s="65"/>
    </row>
    <row r="1226" spans="1:31" ht="15">
      <c r="A1226" s="952"/>
      <c r="B1226" s="116"/>
      <c r="C1226" s="116"/>
      <c r="D1226" s="116"/>
      <c r="E1226" s="116"/>
      <c r="F1226" s="116"/>
      <c r="G1226" s="117"/>
      <c r="H1226" s="117"/>
      <c r="I1226" s="117"/>
      <c r="J1226" s="623"/>
      <c r="K1226" s="625"/>
      <c r="L1226" s="116"/>
      <c r="M1226" s="623"/>
      <c r="N1226" s="625"/>
      <c r="O1226" s="116"/>
      <c r="X1226" s="2512"/>
      <c r="AA1226" s="65"/>
      <c r="AB1226" s="65"/>
      <c r="AC1226" s="65"/>
      <c r="AD1226" s="65"/>
      <c r="AE1226" s="65"/>
    </row>
    <row r="1227" spans="1:31" ht="15">
      <c r="A1227" s="952"/>
      <c r="B1227" s="116"/>
      <c r="C1227" s="116"/>
      <c r="D1227" s="116"/>
      <c r="E1227" s="116"/>
      <c r="F1227" s="116"/>
      <c r="G1227" s="117"/>
      <c r="H1227" s="117"/>
      <c r="I1227" s="117"/>
      <c r="J1227" s="623"/>
      <c r="K1227" s="625"/>
      <c r="L1227" s="116"/>
      <c r="M1227" s="623"/>
      <c r="N1227" s="625"/>
      <c r="O1227" s="116"/>
      <c r="X1227" s="2512"/>
      <c r="AA1227" s="65"/>
      <c r="AB1227" s="65"/>
      <c r="AC1227" s="65"/>
      <c r="AD1227" s="65"/>
      <c r="AE1227" s="65"/>
    </row>
    <row r="1228" spans="1:31" ht="15">
      <c r="A1228" s="952"/>
      <c r="B1228" s="116"/>
      <c r="C1228" s="116"/>
      <c r="D1228" s="116"/>
      <c r="E1228" s="116"/>
      <c r="F1228" s="116"/>
      <c r="G1228" s="117"/>
      <c r="H1228" s="117"/>
      <c r="I1228" s="117"/>
      <c r="J1228" s="623"/>
      <c r="K1228" s="625"/>
      <c r="L1228" s="116"/>
      <c r="M1228" s="623"/>
      <c r="N1228" s="625"/>
      <c r="O1228" s="116"/>
      <c r="X1228" s="2512"/>
      <c r="AA1228" s="65"/>
      <c r="AB1228" s="65"/>
      <c r="AC1228" s="65"/>
      <c r="AD1228" s="65"/>
      <c r="AE1228" s="65"/>
    </row>
    <row r="1229" spans="1:31" ht="15">
      <c r="A1229" s="952"/>
      <c r="B1229" s="116"/>
      <c r="C1229" s="116"/>
      <c r="D1229" s="116"/>
      <c r="E1229" s="116"/>
      <c r="F1229" s="116"/>
      <c r="G1229" s="117"/>
      <c r="H1229" s="117"/>
      <c r="I1229" s="117"/>
      <c r="J1229" s="623"/>
      <c r="K1229" s="625"/>
      <c r="L1229" s="116"/>
      <c r="M1229" s="623"/>
      <c r="N1229" s="625"/>
      <c r="O1229" s="116"/>
      <c r="X1229" s="2512"/>
      <c r="AA1229" s="65"/>
      <c r="AB1229" s="65"/>
      <c r="AC1229" s="65"/>
      <c r="AD1229" s="65"/>
      <c r="AE1229" s="65"/>
    </row>
    <row r="1230" spans="1:31" ht="15">
      <c r="A1230" s="952"/>
      <c r="B1230" s="116"/>
      <c r="C1230" s="116"/>
      <c r="D1230" s="116"/>
      <c r="E1230" s="116"/>
      <c r="F1230" s="116"/>
      <c r="G1230" s="117"/>
      <c r="H1230" s="117"/>
      <c r="I1230" s="117"/>
      <c r="J1230" s="623"/>
      <c r="K1230" s="625"/>
      <c r="L1230" s="116"/>
      <c r="M1230" s="623"/>
      <c r="N1230" s="625"/>
      <c r="O1230" s="116"/>
      <c r="X1230" s="2512"/>
      <c r="AA1230" s="65"/>
      <c r="AB1230" s="65"/>
      <c r="AC1230" s="65"/>
      <c r="AD1230" s="65"/>
      <c r="AE1230" s="65"/>
    </row>
    <row r="1231" spans="1:31" ht="15">
      <c r="A1231" s="952"/>
      <c r="B1231" s="116"/>
      <c r="C1231" s="116"/>
      <c r="D1231" s="116"/>
      <c r="E1231" s="116"/>
      <c r="F1231" s="116"/>
      <c r="G1231" s="117"/>
      <c r="H1231" s="117"/>
      <c r="I1231" s="117"/>
      <c r="J1231" s="623"/>
      <c r="K1231" s="625"/>
      <c r="L1231" s="116"/>
      <c r="M1231" s="623"/>
      <c r="N1231" s="625"/>
      <c r="O1231" s="116"/>
      <c r="X1231" s="2512"/>
      <c r="AA1231" s="65"/>
      <c r="AB1231" s="65"/>
      <c r="AC1231" s="65"/>
      <c r="AD1231" s="65"/>
      <c r="AE1231" s="65"/>
    </row>
    <row r="1232" spans="1:31" ht="15">
      <c r="A1232" s="952"/>
      <c r="B1232" s="116"/>
      <c r="C1232" s="116"/>
      <c r="D1232" s="116"/>
      <c r="E1232" s="116"/>
      <c r="F1232" s="116"/>
      <c r="G1232" s="117"/>
      <c r="H1232" s="117"/>
      <c r="I1232" s="117"/>
      <c r="J1232" s="623"/>
      <c r="K1232" s="625"/>
      <c r="L1232" s="116"/>
      <c r="M1232" s="623"/>
      <c r="N1232" s="625"/>
      <c r="O1232" s="116"/>
      <c r="X1232" s="2512"/>
      <c r="AA1232" s="65"/>
      <c r="AB1232" s="65"/>
      <c r="AC1232" s="65"/>
      <c r="AD1232" s="65"/>
      <c r="AE1232" s="65"/>
    </row>
    <row r="1233" spans="1:31" ht="15">
      <c r="A1233" s="952"/>
      <c r="B1233" s="116"/>
      <c r="C1233" s="116"/>
      <c r="D1233" s="116"/>
      <c r="E1233" s="116"/>
      <c r="F1233" s="116"/>
      <c r="G1233" s="117"/>
      <c r="H1233" s="117"/>
      <c r="I1233" s="117"/>
      <c r="J1233" s="623"/>
      <c r="K1233" s="625"/>
      <c r="L1233" s="116"/>
      <c r="M1233" s="623"/>
      <c r="N1233" s="625"/>
      <c r="O1233" s="116"/>
      <c r="X1233" s="2512"/>
      <c r="AA1233" s="65"/>
      <c r="AB1233" s="65"/>
      <c r="AC1233" s="65"/>
      <c r="AD1233" s="65"/>
      <c r="AE1233" s="65"/>
    </row>
    <row r="1234" spans="1:31" ht="15">
      <c r="A1234" s="952"/>
      <c r="B1234" s="116"/>
      <c r="C1234" s="116"/>
      <c r="D1234" s="116"/>
      <c r="E1234" s="116"/>
      <c r="F1234" s="116"/>
      <c r="G1234" s="117"/>
      <c r="H1234" s="117"/>
      <c r="I1234" s="117"/>
      <c r="J1234" s="623"/>
      <c r="K1234" s="625"/>
      <c r="L1234" s="116"/>
      <c r="M1234" s="623"/>
      <c r="N1234" s="625"/>
      <c r="O1234" s="116"/>
      <c r="X1234" s="2512"/>
      <c r="AA1234" s="65"/>
      <c r="AB1234" s="65"/>
      <c r="AC1234" s="65"/>
      <c r="AD1234" s="65"/>
      <c r="AE1234" s="65"/>
    </row>
    <row r="1235" spans="1:31" ht="15">
      <c r="A1235" s="952"/>
      <c r="B1235" s="116"/>
      <c r="C1235" s="116"/>
      <c r="D1235" s="116"/>
      <c r="E1235" s="116"/>
      <c r="F1235" s="116"/>
      <c r="G1235" s="117"/>
      <c r="H1235" s="117"/>
      <c r="I1235" s="117"/>
      <c r="J1235" s="623"/>
      <c r="K1235" s="625"/>
      <c r="L1235" s="116"/>
      <c r="M1235" s="623"/>
      <c r="N1235" s="625"/>
      <c r="O1235" s="116"/>
      <c r="X1235" s="2512"/>
      <c r="AA1235" s="65"/>
      <c r="AB1235" s="65"/>
      <c r="AC1235" s="65"/>
      <c r="AD1235" s="65"/>
      <c r="AE1235" s="65"/>
    </row>
    <row r="1236" spans="1:31" ht="15">
      <c r="A1236" s="952"/>
      <c r="B1236" s="116"/>
      <c r="C1236" s="116"/>
      <c r="D1236" s="116"/>
      <c r="E1236" s="116"/>
      <c r="F1236" s="116"/>
      <c r="G1236" s="117"/>
      <c r="H1236" s="117"/>
      <c r="I1236" s="117"/>
      <c r="J1236" s="623"/>
      <c r="K1236" s="625"/>
      <c r="L1236" s="116"/>
      <c r="M1236" s="623"/>
      <c r="N1236" s="625"/>
      <c r="O1236" s="116"/>
      <c r="X1236" s="2512"/>
      <c r="AA1236" s="65"/>
      <c r="AB1236" s="65"/>
      <c r="AC1236" s="65"/>
      <c r="AD1236" s="65"/>
      <c r="AE1236" s="65"/>
    </row>
    <row r="1237" spans="1:31" ht="15">
      <c r="A1237" s="952"/>
      <c r="B1237" s="116"/>
      <c r="C1237" s="116"/>
      <c r="D1237" s="116"/>
      <c r="E1237" s="116"/>
      <c r="F1237" s="116"/>
      <c r="G1237" s="117"/>
      <c r="H1237" s="117"/>
      <c r="I1237" s="117"/>
      <c r="J1237" s="623"/>
      <c r="K1237" s="625"/>
      <c r="L1237" s="116"/>
      <c r="M1237" s="623"/>
      <c r="N1237" s="625"/>
      <c r="O1237" s="116"/>
      <c r="X1237" s="2512"/>
      <c r="AA1237" s="65"/>
      <c r="AB1237" s="65"/>
      <c r="AC1237" s="65"/>
      <c r="AD1237" s="65"/>
      <c r="AE1237" s="65"/>
    </row>
    <row r="1238" spans="1:31" ht="15">
      <c r="A1238" s="952"/>
      <c r="B1238" s="116"/>
      <c r="C1238" s="116"/>
      <c r="D1238" s="116"/>
      <c r="E1238" s="116"/>
      <c r="F1238" s="116"/>
      <c r="G1238" s="117"/>
      <c r="H1238" s="117"/>
      <c r="I1238" s="117"/>
      <c r="J1238" s="623"/>
      <c r="K1238" s="625"/>
      <c r="L1238" s="116"/>
      <c r="M1238" s="623"/>
      <c r="N1238" s="625"/>
      <c r="O1238" s="116"/>
      <c r="X1238" s="2512"/>
      <c r="AA1238" s="65"/>
      <c r="AB1238" s="65"/>
      <c r="AC1238" s="65"/>
      <c r="AD1238" s="65"/>
      <c r="AE1238" s="65"/>
    </row>
    <row r="1239" spans="1:31" ht="15">
      <c r="A1239" s="952"/>
      <c r="B1239" s="116"/>
      <c r="C1239" s="116"/>
      <c r="D1239" s="116"/>
      <c r="E1239" s="116"/>
      <c r="F1239" s="116"/>
      <c r="G1239" s="117"/>
      <c r="H1239" s="117"/>
      <c r="I1239" s="117"/>
      <c r="J1239" s="623"/>
      <c r="K1239" s="625"/>
      <c r="L1239" s="116"/>
      <c r="M1239" s="623"/>
      <c r="N1239" s="625"/>
      <c r="O1239" s="116"/>
      <c r="X1239" s="2512"/>
      <c r="AA1239" s="65"/>
      <c r="AB1239" s="65"/>
      <c r="AC1239" s="65"/>
      <c r="AD1239" s="65"/>
      <c r="AE1239" s="65"/>
    </row>
    <row r="1240" spans="1:31" ht="15">
      <c r="A1240" s="952"/>
      <c r="B1240" s="116"/>
      <c r="C1240" s="116"/>
      <c r="D1240" s="116"/>
      <c r="E1240" s="116"/>
      <c r="F1240" s="116"/>
      <c r="G1240" s="117"/>
      <c r="H1240" s="117"/>
      <c r="I1240" s="117"/>
      <c r="J1240" s="623"/>
      <c r="K1240" s="625"/>
      <c r="L1240" s="116"/>
      <c r="M1240" s="623"/>
      <c r="N1240" s="625"/>
      <c r="O1240" s="116"/>
      <c r="X1240" s="2512"/>
      <c r="AA1240" s="65"/>
      <c r="AB1240" s="65"/>
      <c r="AC1240" s="65"/>
      <c r="AD1240" s="65"/>
      <c r="AE1240" s="65"/>
    </row>
    <row r="1241" spans="1:31" ht="15">
      <c r="A1241" s="952"/>
      <c r="B1241" s="116"/>
      <c r="C1241" s="116"/>
      <c r="D1241" s="116"/>
      <c r="E1241" s="116"/>
      <c r="F1241" s="116"/>
      <c r="G1241" s="117"/>
      <c r="H1241" s="117"/>
      <c r="I1241" s="117"/>
      <c r="J1241" s="623"/>
      <c r="K1241" s="625"/>
      <c r="L1241" s="116"/>
      <c r="M1241" s="623"/>
      <c r="N1241" s="625"/>
      <c r="O1241" s="116"/>
      <c r="X1241" s="2512"/>
      <c r="AA1241" s="65"/>
      <c r="AB1241" s="65"/>
      <c r="AC1241" s="65"/>
      <c r="AD1241" s="65"/>
      <c r="AE1241" s="65"/>
    </row>
    <row r="1242" spans="1:31" ht="15">
      <c r="A1242" s="952"/>
      <c r="B1242" s="116"/>
      <c r="C1242" s="116"/>
      <c r="D1242" s="116"/>
      <c r="E1242" s="116"/>
      <c r="F1242" s="116"/>
      <c r="G1242" s="117"/>
      <c r="H1242" s="117"/>
      <c r="I1242" s="117"/>
      <c r="J1242" s="623"/>
      <c r="K1242" s="625"/>
      <c r="L1242" s="116"/>
      <c r="M1242" s="623"/>
      <c r="N1242" s="625"/>
      <c r="O1242" s="116"/>
      <c r="X1242" s="2512"/>
      <c r="AA1242" s="65"/>
      <c r="AB1242" s="65"/>
      <c r="AC1242" s="65"/>
      <c r="AD1242" s="65"/>
      <c r="AE1242" s="65"/>
    </row>
    <row r="1243" spans="1:31" ht="15">
      <c r="A1243" s="952"/>
      <c r="B1243" s="116"/>
      <c r="C1243" s="116"/>
      <c r="D1243" s="116"/>
      <c r="E1243" s="116"/>
      <c r="F1243" s="116"/>
      <c r="G1243" s="117"/>
      <c r="H1243" s="117"/>
      <c r="I1243" s="117"/>
      <c r="J1243" s="623"/>
      <c r="K1243" s="625"/>
      <c r="L1243" s="116"/>
      <c r="M1243" s="623"/>
      <c r="N1243" s="625"/>
      <c r="O1243" s="116"/>
      <c r="X1243" s="2512"/>
      <c r="AA1243" s="65"/>
      <c r="AB1243" s="65"/>
      <c r="AC1243" s="65"/>
      <c r="AD1243" s="65"/>
      <c r="AE1243" s="65"/>
    </row>
    <row r="1244" spans="1:31" ht="15">
      <c r="A1244" s="952"/>
      <c r="B1244" s="116"/>
      <c r="C1244" s="116"/>
      <c r="D1244" s="116"/>
      <c r="E1244" s="116"/>
      <c r="F1244" s="116"/>
      <c r="G1244" s="117"/>
      <c r="H1244" s="117"/>
      <c r="I1244" s="117"/>
      <c r="J1244" s="623"/>
      <c r="K1244" s="625"/>
      <c r="L1244" s="116"/>
      <c r="M1244" s="623"/>
      <c r="N1244" s="625"/>
      <c r="O1244" s="116"/>
      <c r="X1244" s="2512"/>
      <c r="AA1244" s="65"/>
      <c r="AB1244" s="65"/>
      <c r="AC1244" s="65"/>
      <c r="AD1244" s="65"/>
      <c r="AE1244" s="65"/>
    </row>
    <row r="1245" spans="1:31" ht="15">
      <c r="A1245" s="952"/>
      <c r="B1245" s="116"/>
      <c r="C1245" s="116"/>
      <c r="D1245" s="116"/>
      <c r="E1245" s="116"/>
      <c r="F1245" s="116"/>
      <c r="G1245" s="117"/>
      <c r="H1245" s="117"/>
      <c r="I1245" s="117"/>
      <c r="J1245" s="623"/>
      <c r="K1245" s="625"/>
      <c r="L1245" s="116"/>
      <c r="M1245" s="623"/>
      <c r="N1245" s="625"/>
      <c r="O1245" s="116"/>
      <c r="X1245" s="2512"/>
      <c r="AA1245" s="65"/>
      <c r="AB1245" s="65"/>
      <c r="AC1245" s="65"/>
      <c r="AD1245" s="65"/>
      <c r="AE1245" s="65"/>
    </row>
    <row r="1246" spans="1:31" ht="15">
      <c r="A1246" s="952"/>
      <c r="B1246" s="116"/>
      <c r="C1246" s="116"/>
      <c r="D1246" s="116"/>
      <c r="E1246" s="116"/>
      <c r="F1246" s="116"/>
      <c r="G1246" s="117"/>
      <c r="H1246" s="117"/>
      <c r="I1246" s="117"/>
      <c r="J1246" s="623"/>
      <c r="K1246" s="625"/>
      <c r="L1246" s="116"/>
      <c r="M1246" s="623"/>
      <c r="N1246" s="625"/>
      <c r="O1246" s="116"/>
      <c r="X1246" s="2512"/>
      <c r="AA1246" s="65"/>
      <c r="AB1246" s="65"/>
      <c r="AC1246" s="65"/>
      <c r="AD1246" s="65"/>
      <c r="AE1246" s="65"/>
    </row>
    <row r="1247" spans="1:31" ht="15">
      <c r="A1247" s="952"/>
      <c r="B1247" s="116"/>
      <c r="C1247" s="116"/>
      <c r="D1247" s="116"/>
      <c r="E1247" s="116"/>
      <c r="F1247" s="116"/>
      <c r="G1247" s="117"/>
      <c r="H1247" s="117"/>
      <c r="I1247" s="117"/>
      <c r="J1247" s="623"/>
      <c r="K1247" s="625"/>
      <c r="L1247" s="116"/>
      <c r="M1247" s="623"/>
      <c r="N1247" s="625"/>
      <c r="O1247" s="116"/>
      <c r="X1247" s="2512"/>
      <c r="AA1247" s="65"/>
      <c r="AB1247" s="65"/>
      <c r="AC1247" s="65"/>
      <c r="AD1247" s="65"/>
      <c r="AE1247" s="65"/>
    </row>
    <row r="1248" spans="1:31" ht="15">
      <c r="A1248" s="952"/>
      <c r="B1248" s="116"/>
      <c r="C1248" s="116"/>
      <c r="D1248" s="116"/>
      <c r="E1248" s="116"/>
      <c r="F1248" s="116"/>
      <c r="G1248" s="117"/>
      <c r="H1248" s="117"/>
      <c r="I1248" s="117"/>
      <c r="J1248" s="623"/>
      <c r="K1248" s="625"/>
      <c r="L1248" s="116"/>
      <c r="M1248" s="623"/>
      <c r="N1248" s="625"/>
      <c r="O1248" s="116"/>
      <c r="X1248" s="2512"/>
      <c r="AA1248" s="65"/>
      <c r="AB1248" s="65"/>
      <c r="AC1248" s="65"/>
      <c r="AD1248" s="65"/>
      <c r="AE1248" s="65"/>
    </row>
    <row r="1249" spans="1:31" ht="15">
      <c r="A1249" s="952"/>
      <c r="B1249" s="116"/>
      <c r="C1249" s="116"/>
      <c r="D1249" s="116"/>
      <c r="E1249" s="116"/>
      <c r="F1249" s="116"/>
      <c r="G1249" s="117"/>
      <c r="H1249" s="117"/>
      <c r="I1249" s="117"/>
      <c r="J1249" s="623"/>
      <c r="K1249" s="625"/>
      <c r="L1249" s="116"/>
      <c r="M1249" s="623"/>
      <c r="N1249" s="625"/>
      <c r="O1249" s="116"/>
      <c r="X1249" s="2512"/>
      <c r="AA1249" s="65"/>
      <c r="AB1249" s="65"/>
      <c r="AC1249" s="65"/>
      <c r="AD1249" s="65"/>
      <c r="AE1249" s="65"/>
    </row>
    <row r="1250" spans="1:31" ht="15">
      <c r="A1250" s="952"/>
      <c r="B1250" s="116"/>
      <c r="C1250" s="116"/>
      <c r="D1250" s="116"/>
      <c r="E1250" s="116"/>
      <c r="F1250" s="116"/>
      <c r="G1250" s="117"/>
      <c r="H1250" s="117"/>
      <c r="I1250" s="117"/>
      <c r="J1250" s="623"/>
      <c r="K1250" s="625"/>
      <c r="L1250" s="116"/>
      <c r="M1250" s="623"/>
      <c r="N1250" s="625"/>
      <c r="O1250" s="116"/>
      <c r="X1250" s="2512"/>
      <c r="AA1250" s="65"/>
      <c r="AB1250" s="65"/>
      <c r="AC1250" s="65"/>
      <c r="AD1250" s="65"/>
      <c r="AE1250" s="65"/>
    </row>
    <row r="1251" spans="1:31" ht="15">
      <c r="A1251" s="952"/>
      <c r="B1251" s="116"/>
      <c r="C1251" s="116"/>
      <c r="D1251" s="116"/>
      <c r="E1251" s="116"/>
      <c r="F1251" s="116"/>
      <c r="G1251" s="117"/>
      <c r="H1251" s="117"/>
      <c r="I1251" s="117"/>
      <c r="J1251" s="623"/>
      <c r="K1251" s="625"/>
      <c r="L1251" s="116"/>
      <c r="M1251" s="623"/>
      <c r="N1251" s="625"/>
      <c r="O1251" s="116"/>
      <c r="X1251" s="2512"/>
      <c r="AA1251" s="65"/>
      <c r="AB1251" s="65"/>
      <c r="AC1251" s="65"/>
      <c r="AD1251" s="65"/>
      <c r="AE1251" s="65"/>
    </row>
    <row r="1252" spans="1:31" ht="15">
      <c r="A1252" s="952"/>
      <c r="B1252" s="116"/>
      <c r="C1252" s="116"/>
      <c r="D1252" s="116"/>
      <c r="E1252" s="116"/>
      <c r="F1252" s="116"/>
      <c r="G1252" s="117"/>
      <c r="H1252" s="117"/>
      <c r="I1252" s="117"/>
      <c r="J1252" s="623"/>
      <c r="K1252" s="625"/>
      <c r="L1252" s="116"/>
      <c r="M1252" s="623"/>
      <c r="N1252" s="625"/>
      <c r="O1252" s="116"/>
      <c r="X1252" s="2512"/>
      <c r="AA1252" s="65"/>
      <c r="AB1252" s="65"/>
      <c r="AC1252" s="65"/>
      <c r="AD1252" s="65"/>
      <c r="AE1252" s="65"/>
    </row>
    <row r="1253" spans="1:31" ht="15">
      <c r="A1253" s="952"/>
      <c r="B1253" s="116"/>
      <c r="C1253" s="116"/>
      <c r="D1253" s="116"/>
      <c r="E1253" s="116"/>
      <c r="F1253" s="116"/>
      <c r="G1253" s="117"/>
      <c r="H1253" s="117"/>
      <c r="I1253" s="117"/>
      <c r="J1253" s="623"/>
      <c r="K1253" s="625"/>
      <c r="L1253" s="116"/>
      <c r="M1253" s="623"/>
      <c r="N1253" s="625"/>
      <c r="O1253" s="116"/>
      <c r="X1253" s="2512"/>
      <c r="AA1253" s="65"/>
      <c r="AB1253" s="65"/>
      <c r="AC1253" s="65"/>
      <c r="AD1253" s="65"/>
      <c r="AE1253" s="65"/>
    </row>
    <row r="1254" spans="1:31" ht="15">
      <c r="A1254" s="952"/>
      <c r="B1254" s="116"/>
      <c r="C1254" s="116"/>
      <c r="D1254" s="116"/>
      <c r="E1254" s="116"/>
      <c r="F1254" s="116"/>
      <c r="G1254" s="117"/>
      <c r="H1254" s="117"/>
      <c r="I1254" s="117"/>
      <c r="J1254" s="623"/>
      <c r="K1254" s="625"/>
      <c r="L1254" s="116"/>
      <c r="M1254" s="623"/>
      <c r="N1254" s="625"/>
      <c r="O1254" s="116"/>
      <c r="X1254" s="2512"/>
      <c r="AA1254" s="65"/>
      <c r="AB1254" s="65"/>
      <c r="AC1254" s="65"/>
      <c r="AD1254" s="65"/>
      <c r="AE1254" s="65"/>
    </row>
    <row r="1255" spans="1:31" ht="15">
      <c r="A1255" s="952"/>
      <c r="B1255" s="116"/>
      <c r="C1255" s="116"/>
      <c r="D1255" s="116"/>
      <c r="E1255" s="116"/>
      <c r="F1255" s="116"/>
      <c r="G1255" s="117"/>
      <c r="H1255" s="117"/>
      <c r="I1255" s="117"/>
      <c r="J1255" s="623"/>
      <c r="K1255" s="625"/>
      <c r="L1255" s="116"/>
      <c r="M1255" s="623"/>
      <c r="N1255" s="625"/>
      <c r="O1255" s="116"/>
      <c r="X1255" s="2512"/>
      <c r="AA1255" s="65"/>
      <c r="AB1255" s="65"/>
      <c r="AC1255" s="65"/>
      <c r="AD1255" s="65"/>
      <c r="AE1255" s="65"/>
    </row>
    <row r="1256" spans="1:31" ht="15">
      <c r="A1256" s="952"/>
      <c r="B1256" s="116"/>
      <c r="C1256" s="116"/>
      <c r="D1256" s="116"/>
      <c r="E1256" s="116"/>
      <c r="F1256" s="116"/>
      <c r="G1256" s="117"/>
      <c r="H1256" s="117"/>
      <c r="I1256" s="117"/>
      <c r="J1256" s="623"/>
      <c r="K1256" s="625"/>
      <c r="L1256" s="116"/>
      <c r="M1256" s="623"/>
      <c r="N1256" s="625"/>
      <c r="O1256" s="116"/>
      <c r="X1256" s="2512"/>
      <c r="AA1256" s="65"/>
      <c r="AB1256" s="65"/>
      <c r="AC1256" s="65"/>
      <c r="AD1256" s="65"/>
      <c r="AE1256" s="65"/>
    </row>
    <row r="1257" spans="1:31" ht="15">
      <c r="A1257" s="952"/>
      <c r="B1257" s="116"/>
      <c r="C1257" s="116"/>
      <c r="D1257" s="116"/>
      <c r="E1257" s="116"/>
      <c r="F1257" s="116"/>
      <c r="G1257" s="117"/>
      <c r="H1257" s="117"/>
      <c r="I1257" s="117"/>
      <c r="J1257" s="623"/>
      <c r="K1257" s="625"/>
      <c r="L1257" s="116"/>
      <c r="M1257" s="623"/>
      <c r="N1257" s="625"/>
      <c r="O1257" s="116"/>
      <c r="X1257" s="2512"/>
      <c r="AA1257" s="65"/>
      <c r="AB1257" s="65"/>
      <c r="AC1257" s="65"/>
      <c r="AD1257" s="65"/>
      <c r="AE1257" s="65"/>
    </row>
    <row r="1258" spans="1:31" ht="15">
      <c r="A1258" s="952"/>
      <c r="B1258" s="116"/>
      <c r="C1258" s="116"/>
      <c r="D1258" s="116"/>
      <c r="E1258" s="116"/>
      <c r="F1258" s="116"/>
      <c r="G1258" s="117"/>
      <c r="H1258" s="117"/>
      <c r="I1258" s="117"/>
      <c r="J1258" s="623"/>
      <c r="K1258" s="625"/>
      <c r="L1258" s="116"/>
      <c r="M1258" s="623"/>
      <c r="N1258" s="625"/>
      <c r="O1258" s="116"/>
      <c r="X1258" s="2512"/>
      <c r="AA1258" s="65"/>
      <c r="AB1258" s="65"/>
      <c r="AC1258" s="65"/>
      <c r="AD1258" s="65"/>
      <c r="AE1258" s="65"/>
    </row>
    <row r="1259" spans="1:31" ht="15">
      <c r="A1259" s="952"/>
      <c r="B1259" s="116"/>
      <c r="C1259" s="116"/>
      <c r="D1259" s="116"/>
      <c r="E1259" s="116"/>
      <c r="F1259" s="116"/>
      <c r="G1259" s="117"/>
      <c r="H1259" s="117"/>
      <c r="I1259" s="117"/>
      <c r="J1259" s="623"/>
      <c r="K1259" s="625"/>
      <c r="L1259" s="116"/>
      <c r="M1259" s="623"/>
      <c r="N1259" s="625"/>
      <c r="O1259" s="116"/>
      <c r="X1259" s="2512"/>
      <c r="AA1259" s="65"/>
      <c r="AB1259" s="65"/>
      <c r="AC1259" s="65"/>
      <c r="AD1259" s="65"/>
      <c r="AE1259" s="65"/>
    </row>
    <row r="1260" spans="1:31" ht="15">
      <c r="A1260" s="952"/>
      <c r="B1260" s="116"/>
      <c r="C1260" s="116"/>
      <c r="D1260" s="116"/>
      <c r="E1260" s="116"/>
      <c r="F1260" s="116"/>
      <c r="G1260" s="117"/>
      <c r="H1260" s="117"/>
      <c r="I1260" s="117"/>
      <c r="J1260" s="623"/>
      <c r="K1260" s="625"/>
      <c r="L1260" s="116"/>
      <c r="M1260" s="623"/>
      <c r="N1260" s="625"/>
      <c r="O1260" s="116"/>
      <c r="X1260" s="2512"/>
      <c r="AA1260" s="65"/>
      <c r="AB1260" s="65"/>
      <c r="AC1260" s="65"/>
      <c r="AD1260" s="65"/>
      <c r="AE1260" s="65"/>
    </row>
    <row r="1261" spans="1:31" ht="15">
      <c r="A1261" s="952"/>
      <c r="B1261" s="116"/>
      <c r="C1261" s="116"/>
      <c r="D1261" s="116"/>
      <c r="E1261" s="116"/>
      <c r="F1261" s="116"/>
      <c r="G1261" s="117"/>
      <c r="H1261" s="117"/>
      <c r="I1261" s="117"/>
      <c r="J1261" s="623"/>
      <c r="K1261" s="625"/>
      <c r="L1261" s="116"/>
      <c r="M1261" s="623"/>
      <c r="N1261" s="625"/>
      <c r="O1261" s="116"/>
      <c r="X1261" s="2512"/>
      <c r="AA1261" s="65"/>
      <c r="AB1261" s="65"/>
      <c r="AC1261" s="65"/>
      <c r="AD1261" s="65"/>
      <c r="AE1261" s="65"/>
    </row>
    <row r="1262" spans="1:31" ht="15">
      <c r="A1262" s="952"/>
      <c r="B1262" s="116"/>
      <c r="C1262" s="116"/>
      <c r="D1262" s="116"/>
      <c r="E1262" s="116"/>
      <c r="F1262" s="116"/>
      <c r="G1262" s="117"/>
      <c r="H1262" s="117"/>
      <c r="I1262" s="117"/>
      <c r="J1262" s="623"/>
      <c r="K1262" s="625"/>
      <c r="L1262" s="116"/>
      <c r="M1262" s="623"/>
      <c r="N1262" s="625"/>
      <c r="O1262" s="116"/>
      <c r="X1262" s="2512"/>
      <c r="AA1262" s="65"/>
      <c r="AB1262" s="65"/>
      <c r="AC1262" s="65"/>
      <c r="AD1262" s="65"/>
      <c r="AE1262" s="65"/>
    </row>
    <row r="1263" spans="1:31" ht="15">
      <c r="A1263" s="952"/>
      <c r="B1263" s="116"/>
      <c r="C1263" s="116"/>
      <c r="D1263" s="116"/>
      <c r="E1263" s="116"/>
      <c r="F1263" s="116"/>
      <c r="G1263" s="117"/>
      <c r="H1263" s="117"/>
      <c r="I1263" s="117"/>
      <c r="J1263" s="623"/>
      <c r="K1263" s="625"/>
      <c r="L1263" s="116"/>
      <c r="M1263" s="623"/>
      <c r="N1263" s="625"/>
      <c r="O1263" s="116"/>
      <c r="X1263" s="2512"/>
      <c r="AA1263" s="65"/>
      <c r="AB1263" s="65"/>
      <c r="AC1263" s="65"/>
      <c r="AD1263" s="65"/>
      <c r="AE1263" s="65"/>
    </row>
    <row r="1264" spans="1:31" ht="15">
      <c r="A1264" s="952"/>
      <c r="B1264" s="116"/>
      <c r="C1264" s="116"/>
      <c r="D1264" s="116"/>
      <c r="E1264" s="116"/>
      <c r="F1264" s="116"/>
      <c r="G1264" s="117"/>
      <c r="H1264" s="117"/>
      <c r="I1264" s="117"/>
      <c r="J1264" s="623"/>
      <c r="K1264" s="625"/>
      <c r="L1264" s="116"/>
      <c r="M1264" s="623"/>
      <c r="N1264" s="625"/>
      <c r="O1264" s="116"/>
      <c r="X1264" s="2512"/>
      <c r="AA1264" s="65"/>
      <c r="AB1264" s="65"/>
      <c r="AC1264" s="65"/>
      <c r="AD1264" s="65"/>
      <c r="AE1264" s="65"/>
    </row>
    <row r="1265" spans="1:31" ht="15">
      <c r="A1265" s="952"/>
      <c r="B1265" s="116"/>
      <c r="C1265" s="116"/>
      <c r="D1265" s="116"/>
      <c r="E1265" s="116"/>
      <c r="F1265" s="116"/>
      <c r="G1265" s="117"/>
      <c r="H1265" s="117"/>
      <c r="I1265" s="117"/>
      <c r="J1265" s="623"/>
      <c r="K1265" s="625"/>
      <c r="L1265" s="116"/>
      <c r="M1265" s="623"/>
      <c r="N1265" s="625"/>
      <c r="O1265" s="116"/>
      <c r="X1265" s="2512"/>
      <c r="AA1265" s="65"/>
      <c r="AB1265" s="65"/>
      <c r="AC1265" s="65"/>
      <c r="AD1265" s="65"/>
      <c r="AE1265" s="65"/>
    </row>
    <row r="1266" spans="1:31" ht="15">
      <c r="A1266" s="952"/>
      <c r="B1266" s="116"/>
      <c r="C1266" s="116"/>
      <c r="D1266" s="116"/>
      <c r="E1266" s="116"/>
      <c r="F1266" s="116"/>
      <c r="G1266" s="117"/>
      <c r="H1266" s="117"/>
      <c r="I1266" s="117"/>
      <c r="J1266" s="623"/>
      <c r="K1266" s="625"/>
      <c r="L1266" s="116"/>
      <c r="M1266" s="623"/>
      <c r="N1266" s="625"/>
      <c r="O1266" s="116"/>
      <c r="X1266" s="2512"/>
      <c r="AA1266" s="65"/>
      <c r="AB1266" s="65"/>
      <c r="AC1266" s="65"/>
      <c r="AD1266" s="65"/>
      <c r="AE1266" s="65"/>
    </row>
    <row r="1267" spans="1:31" ht="15">
      <c r="A1267" s="952"/>
      <c r="B1267" s="116"/>
      <c r="C1267" s="116"/>
      <c r="D1267" s="116"/>
      <c r="E1267" s="116"/>
      <c r="F1267" s="116"/>
      <c r="G1267" s="117"/>
      <c r="H1267" s="117"/>
      <c r="I1267" s="117"/>
      <c r="J1267" s="623"/>
      <c r="K1267" s="625"/>
      <c r="L1267" s="116"/>
      <c r="M1267" s="623"/>
      <c r="N1267" s="625"/>
      <c r="O1267" s="116"/>
      <c r="X1267" s="2512"/>
      <c r="AA1267" s="65"/>
      <c r="AB1267" s="65"/>
      <c r="AC1267" s="65"/>
      <c r="AD1267" s="65"/>
      <c r="AE1267" s="65"/>
    </row>
    <row r="1268" spans="1:31" ht="15">
      <c r="A1268" s="952"/>
      <c r="B1268" s="116"/>
      <c r="C1268" s="116"/>
      <c r="D1268" s="116"/>
      <c r="E1268" s="116"/>
      <c r="F1268" s="116"/>
      <c r="G1268" s="117"/>
      <c r="H1268" s="117"/>
      <c r="I1268" s="117"/>
      <c r="J1268" s="623"/>
      <c r="K1268" s="625"/>
      <c r="L1268" s="116"/>
      <c r="M1268" s="623"/>
      <c r="N1268" s="625"/>
      <c r="O1268" s="116"/>
      <c r="X1268" s="2512"/>
      <c r="AA1268" s="65"/>
      <c r="AB1268" s="65"/>
      <c r="AC1268" s="65"/>
      <c r="AD1268" s="65"/>
      <c r="AE1268" s="65"/>
    </row>
    <row r="1269" spans="1:31" ht="15">
      <c r="A1269" s="952"/>
      <c r="B1269" s="116"/>
      <c r="C1269" s="116"/>
      <c r="D1269" s="116"/>
      <c r="E1269" s="116"/>
      <c r="F1269" s="116"/>
      <c r="G1269" s="117"/>
      <c r="H1269" s="117"/>
      <c r="I1269" s="117"/>
      <c r="J1269" s="623"/>
      <c r="K1269" s="625"/>
      <c r="L1269" s="116"/>
      <c r="M1269" s="623"/>
      <c r="N1269" s="625"/>
      <c r="O1269" s="116"/>
      <c r="X1269" s="2512"/>
      <c r="AA1269" s="65"/>
      <c r="AB1269" s="65"/>
      <c r="AC1269" s="65"/>
      <c r="AD1269" s="65"/>
      <c r="AE1269" s="65"/>
    </row>
    <row r="1270" spans="1:31" ht="15">
      <c r="A1270" s="952"/>
      <c r="B1270" s="116"/>
      <c r="C1270" s="116"/>
      <c r="D1270" s="116"/>
      <c r="E1270" s="116"/>
      <c r="F1270" s="116"/>
      <c r="G1270" s="117"/>
      <c r="H1270" s="117"/>
      <c r="I1270" s="117"/>
      <c r="J1270" s="623"/>
      <c r="K1270" s="625"/>
      <c r="L1270" s="116"/>
      <c r="M1270" s="623"/>
      <c r="N1270" s="625"/>
      <c r="O1270" s="116"/>
      <c r="X1270" s="2512"/>
      <c r="AA1270" s="65"/>
      <c r="AB1270" s="65"/>
      <c r="AC1270" s="65"/>
      <c r="AD1270" s="65"/>
      <c r="AE1270" s="65"/>
    </row>
    <row r="1271" spans="1:31" ht="15">
      <c r="A1271" s="952"/>
      <c r="B1271" s="116"/>
      <c r="C1271" s="116"/>
      <c r="D1271" s="116"/>
      <c r="E1271" s="116"/>
      <c r="F1271" s="116"/>
      <c r="G1271" s="117"/>
      <c r="H1271" s="117"/>
      <c r="I1271" s="117"/>
      <c r="J1271" s="623"/>
      <c r="K1271" s="625"/>
      <c r="L1271" s="116"/>
      <c r="M1271" s="623"/>
      <c r="N1271" s="625"/>
      <c r="O1271" s="116"/>
      <c r="X1271" s="2512"/>
      <c r="AA1271" s="65"/>
      <c r="AB1271" s="65"/>
      <c r="AC1271" s="65"/>
      <c r="AD1271" s="65"/>
      <c r="AE1271" s="65"/>
    </row>
    <row r="1272" spans="1:31" ht="15">
      <c r="A1272" s="952"/>
      <c r="B1272" s="116"/>
      <c r="C1272" s="116"/>
      <c r="D1272" s="116"/>
      <c r="E1272" s="116"/>
      <c r="F1272" s="116"/>
      <c r="G1272" s="117"/>
      <c r="H1272" s="117"/>
      <c r="I1272" s="117"/>
      <c r="J1272" s="623"/>
      <c r="K1272" s="625"/>
      <c r="L1272" s="116"/>
      <c r="M1272" s="623"/>
      <c r="N1272" s="625"/>
      <c r="O1272" s="116"/>
      <c r="X1272" s="2512"/>
      <c r="AA1272" s="65"/>
      <c r="AB1272" s="65"/>
      <c r="AC1272" s="65"/>
      <c r="AD1272" s="65"/>
      <c r="AE1272" s="65"/>
    </row>
    <row r="1273" spans="1:31" ht="15">
      <c r="A1273" s="952"/>
      <c r="B1273" s="116"/>
      <c r="C1273" s="116"/>
      <c r="D1273" s="116"/>
      <c r="E1273" s="116"/>
      <c r="F1273" s="116"/>
      <c r="G1273" s="117"/>
      <c r="H1273" s="117"/>
      <c r="I1273" s="117"/>
      <c r="J1273" s="623"/>
      <c r="K1273" s="625"/>
      <c r="L1273" s="116"/>
      <c r="M1273" s="623"/>
      <c r="N1273" s="625"/>
      <c r="O1273" s="116"/>
      <c r="X1273" s="2512"/>
      <c r="AA1273" s="65"/>
      <c r="AB1273" s="65"/>
      <c r="AC1273" s="65"/>
      <c r="AD1273" s="65"/>
      <c r="AE1273" s="65"/>
    </row>
    <row r="1274" spans="1:31" ht="15">
      <c r="A1274" s="952"/>
      <c r="B1274" s="116"/>
      <c r="C1274" s="116"/>
      <c r="D1274" s="116"/>
      <c r="E1274" s="116"/>
      <c r="F1274" s="116"/>
      <c r="G1274" s="117"/>
      <c r="H1274" s="117"/>
      <c r="I1274" s="117"/>
      <c r="J1274" s="623"/>
      <c r="K1274" s="625"/>
      <c r="L1274" s="116"/>
      <c r="M1274" s="623"/>
      <c r="N1274" s="625"/>
      <c r="O1274" s="116"/>
      <c r="X1274" s="2512"/>
      <c r="AA1274" s="65"/>
      <c r="AB1274" s="65"/>
      <c r="AC1274" s="65"/>
      <c r="AD1274" s="65"/>
      <c r="AE1274" s="65"/>
    </row>
    <row r="1275" spans="1:31" ht="15">
      <c r="A1275" s="952"/>
      <c r="B1275" s="116"/>
      <c r="C1275" s="116"/>
      <c r="D1275" s="116"/>
      <c r="E1275" s="116"/>
      <c r="F1275" s="116"/>
      <c r="G1275" s="117"/>
      <c r="H1275" s="117"/>
      <c r="I1275" s="117"/>
      <c r="J1275" s="623"/>
      <c r="K1275" s="625"/>
      <c r="L1275" s="116"/>
      <c r="M1275" s="623"/>
      <c r="N1275" s="625"/>
      <c r="O1275" s="116"/>
      <c r="X1275" s="2512"/>
      <c r="AA1275" s="65"/>
      <c r="AB1275" s="65"/>
      <c r="AC1275" s="65"/>
      <c r="AD1275" s="65"/>
      <c r="AE1275" s="65"/>
    </row>
    <row r="1276" spans="1:31" ht="15">
      <c r="A1276" s="952"/>
      <c r="B1276" s="116"/>
      <c r="C1276" s="116"/>
      <c r="D1276" s="116"/>
      <c r="E1276" s="116"/>
      <c r="F1276" s="116"/>
      <c r="G1276" s="117"/>
      <c r="H1276" s="117"/>
      <c r="I1276" s="117"/>
      <c r="J1276" s="623"/>
      <c r="K1276" s="625"/>
      <c r="L1276" s="116"/>
      <c r="M1276" s="623"/>
      <c r="N1276" s="625"/>
      <c r="O1276" s="116"/>
      <c r="X1276" s="2512"/>
      <c r="AA1276" s="65"/>
      <c r="AB1276" s="65"/>
      <c r="AC1276" s="65"/>
      <c r="AD1276" s="65"/>
      <c r="AE1276" s="65"/>
    </row>
    <row r="1277" spans="1:31" ht="15">
      <c r="A1277" s="952"/>
      <c r="B1277" s="116"/>
      <c r="C1277" s="116"/>
      <c r="D1277" s="116"/>
      <c r="E1277" s="116"/>
      <c r="F1277" s="116"/>
      <c r="G1277" s="117"/>
      <c r="H1277" s="117"/>
      <c r="I1277" s="117"/>
      <c r="J1277" s="623"/>
      <c r="K1277" s="625"/>
      <c r="L1277" s="116"/>
      <c r="M1277" s="623"/>
      <c r="N1277" s="625"/>
      <c r="O1277" s="116"/>
      <c r="X1277" s="2512"/>
      <c r="AA1277" s="65"/>
      <c r="AB1277" s="65"/>
      <c r="AC1277" s="65"/>
      <c r="AD1277" s="65"/>
      <c r="AE1277" s="65"/>
    </row>
    <row r="1278" spans="1:31" ht="15">
      <c r="A1278" s="952"/>
      <c r="B1278" s="116"/>
      <c r="C1278" s="116"/>
      <c r="D1278" s="116"/>
      <c r="E1278" s="116"/>
      <c r="F1278" s="116"/>
      <c r="G1278" s="117"/>
      <c r="H1278" s="117"/>
      <c r="I1278" s="117"/>
      <c r="J1278" s="623"/>
      <c r="K1278" s="625"/>
      <c r="L1278" s="116"/>
      <c r="M1278" s="623"/>
      <c r="N1278" s="625"/>
      <c r="O1278" s="116"/>
      <c r="X1278" s="2512"/>
      <c r="AA1278" s="65"/>
      <c r="AB1278" s="65"/>
      <c r="AC1278" s="65"/>
      <c r="AD1278" s="65"/>
      <c r="AE1278" s="65"/>
    </row>
    <row r="1279" spans="1:31" ht="15">
      <c r="A1279" s="952"/>
      <c r="B1279" s="116"/>
      <c r="C1279" s="116"/>
      <c r="D1279" s="116"/>
      <c r="E1279" s="116"/>
      <c r="F1279" s="116"/>
      <c r="G1279" s="117"/>
      <c r="H1279" s="117"/>
      <c r="I1279" s="117"/>
      <c r="J1279" s="623"/>
      <c r="K1279" s="625"/>
      <c r="L1279" s="116"/>
      <c r="M1279" s="623"/>
      <c r="N1279" s="625"/>
      <c r="O1279" s="116"/>
      <c r="X1279" s="2512"/>
      <c r="AA1279" s="65"/>
      <c r="AB1279" s="65"/>
      <c r="AC1279" s="65"/>
      <c r="AD1279" s="65"/>
      <c r="AE1279" s="65"/>
    </row>
    <row r="1280" spans="1:31" ht="15">
      <c r="A1280" s="952"/>
      <c r="B1280" s="116"/>
      <c r="C1280" s="116"/>
      <c r="D1280" s="116"/>
      <c r="E1280" s="116"/>
      <c r="F1280" s="116"/>
      <c r="G1280" s="117"/>
      <c r="H1280" s="117"/>
      <c r="I1280" s="117"/>
      <c r="J1280" s="623"/>
      <c r="K1280" s="625"/>
      <c r="L1280" s="116"/>
      <c r="M1280" s="623"/>
      <c r="N1280" s="625"/>
      <c r="O1280" s="116"/>
      <c r="X1280" s="2512"/>
      <c r="AA1280" s="65"/>
      <c r="AB1280" s="65"/>
      <c r="AC1280" s="65"/>
      <c r="AD1280" s="65"/>
      <c r="AE1280" s="65"/>
    </row>
    <row r="1281" spans="1:31" ht="15">
      <c r="A1281" s="952"/>
      <c r="B1281" s="116"/>
      <c r="C1281" s="116"/>
      <c r="D1281" s="116"/>
      <c r="E1281" s="116"/>
      <c r="F1281" s="116"/>
      <c r="G1281" s="117"/>
      <c r="H1281" s="117"/>
      <c r="I1281" s="117"/>
      <c r="J1281" s="623"/>
      <c r="K1281" s="625"/>
      <c r="L1281" s="116"/>
      <c r="M1281" s="623"/>
      <c r="N1281" s="625"/>
      <c r="O1281" s="116"/>
      <c r="X1281" s="2512"/>
      <c r="AA1281" s="65"/>
      <c r="AB1281" s="65"/>
      <c r="AC1281" s="65"/>
      <c r="AD1281" s="65"/>
      <c r="AE1281" s="65"/>
    </row>
    <row r="1282" spans="1:31" ht="15">
      <c r="A1282" s="952"/>
      <c r="B1282" s="116"/>
      <c r="C1282" s="116"/>
      <c r="D1282" s="116"/>
      <c r="E1282" s="116"/>
      <c r="F1282" s="116"/>
      <c r="G1282" s="117"/>
      <c r="H1282" s="117"/>
      <c r="I1282" s="117"/>
      <c r="J1282" s="623"/>
      <c r="K1282" s="625"/>
      <c r="L1282" s="116"/>
      <c r="M1282" s="623"/>
      <c r="N1282" s="625"/>
      <c r="O1282" s="116"/>
      <c r="X1282" s="2512"/>
      <c r="AA1282" s="65"/>
      <c r="AB1282" s="65"/>
      <c r="AC1282" s="65"/>
      <c r="AD1282" s="65"/>
      <c r="AE1282" s="65"/>
    </row>
    <row r="1283" spans="1:31" ht="15">
      <c r="A1283" s="952"/>
      <c r="B1283" s="116"/>
      <c r="C1283" s="116"/>
      <c r="D1283" s="116"/>
      <c r="E1283" s="116"/>
      <c r="F1283" s="116"/>
      <c r="G1283" s="117"/>
      <c r="H1283" s="117"/>
      <c r="I1283" s="117"/>
      <c r="J1283" s="623"/>
      <c r="K1283" s="625"/>
      <c r="L1283" s="116"/>
      <c r="M1283" s="623"/>
      <c r="N1283" s="625"/>
      <c r="O1283" s="116"/>
      <c r="X1283" s="2512"/>
      <c r="AA1283" s="65"/>
      <c r="AB1283" s="65"/>
      <c r="AC1283" s="65"/>
      <c r="AD1283" s="65"/>
      <c r="AE1283" s="65"/>
    </row>
    <row r="1284" spans="1:31" ht="15">
      <c r="A1284" s="952"/>
      <c r="B1284" s="116"/>
      <c r="C1284" s="116"/>
      <c r="D1284" s="116"/>
      <c r="E1284" s="116"/>
      <c r="F1284" s="116"/>
      <c r="G1284" s="117"/>
      <c r="H1284" s="117"/>
      <c r="I1284" s="117"/>
      <c r="J1284" s="623"/>
      <c r="K1284" s="625"/>
      <c r="L1284" s="116"/>
      <c r="M1284" s="623"/>
      <c r="N1284" s="625"/>
      <c r="O1284" s="116"/>
      <c r="X1284" s="2512"/>
      <c r="AA1284" s="65"/>
      <c r="AB1284" s="65"/>
      <c r="AC1284" s="65"/>
      <c r="AD1284" s="65"/>
      <c r="AE1284" s="65"/>
    </row>
    <row r="1285" spans="1:31" ht="15">
      <c r="A1285" s="952"/>
      <c r="B1285" s="116"/>
      <c r="C1285" s="116"/>
      <c r="D1285" s="116"/>
      <c r="E1285" s="116"/>
      <c r="F1285" s="116"/>
      <c r="G1285" s="117"/>
      <c r="H1285" s="117"/>
      <c r="I1285" s="117"/>
      <c r="J1285" s="623"/>
      <c r="K1285" s="625"/>
      <c r="L1285" s="116"/>
      <c r="M1285" s="623"/>
      <c r="N1285" s="625"/>
      <c r="O1285" s="116"/>
      <c r="X1285" s="2512"/>
      <c r="AA1285" s="65"/>
      <c r="AB1285" s="65"/>
      <c r="AC1285" s="65"/>
      <c r="AD1285" s="65"/>
      <c r="AE1285" s="65"/>
    </row>
    <row r="1286" spans="1:31" ht="15">
      <c r="A1286" s="952"/>
      <c r="B1286" s="116"/>
      <c r="C1286" s="116"/>
      <c r="D1286" s="116"/>
      <c r="E1286" s="116"/>
      <c r="F1286" s="116"/>
      <c r="G1286" s="117"/>
      <c r="H1286" s="117"/>
      <c r="I1286" s="117"/>
      <c r="J1286" s="623"/>
      <c r="K1286" s="625"/>
      <c r="L1286" s="116"/>
      <c r="M1286" s="623"/>
      <c r="N1286" s="625"/>
      <c r="O1286" s="116"/>
      <c r="X1286" s="2512"/>
      <c r="AA1286" s="65"/>
      <c r="AB1286" s="65"/>
      <c r="AC1286" s="65"/>
      <c r="AD1286" s="65"/>
      <c r="AE1286" s="65"/>
    </row>
    <row r="1287" spans="1:31" ht="15">
      <c r="A1287" s="952"/>
      <c r="B1287" s="116"/>
      <c r="C1287" s="116"/>
      <c r="D1287" s="116"/>
      <c r="E1287" s="116"/>
      <c r="F1287" s="116"/>
      <c r="G1287" s="117"/>
      <c r="H1287" s="117"/>
      <c r="I1287" s="117"/>
      <c r="J1287" s="623"/>
      <c r="K1287" s="625"/>
      <c r="L1287" s="116"/>
      <c r="M1287" s="623"/>
      <c r="N1287" s="625"/>
      <c r="O1287" s="116"/>
      <c r="X1287" s="2512"/>
      <c r="AA1287" s="65"/>
      <c r="AB1287" s="65"/>
      <c r="AC1287" s="65"/>
      <c r="AD1287" s="65"/>
      <c r="AE1287" s="65"/>
    </row>
    <row r="1288" spans="1:31" ht="15">
      <c r="A1288" s="952"/>
      <c r="B1288" s="116"/>
      <c r="C1288" s="116"/>
      <c r="D1288" s="116"/>
      <c r="E1288" s="116"/>
      <c r="F1288" s="116"/>
      <c r="G1288" s="117"/>
      <c r="H1288" s="117"/>
      <c r="I1288" s="117"/>
      <c r="J1288" s="623"/>
      <c r="K1288" s="625"/>
      <c r="L1288" s="116"/>
      <c r="M1288" s="623"/>
      <c r="N1288" s="625"/>
      <c r="O1288" s="116"/>
      <c r="X1288" s="2512"/>
      <c r="AA1288" s="65"/>
      <c r="AB1288" s="65"/>
      <c r="AC1288" s="65"/>
      <c r="AD1288" s="65"/>
      <c r="AE1288" s="65"/>
    </row>
    <row r="1289" spans="1:31" ht="15">
      <c r="A1289" s="952"/>
      <c r="B1289" s="116"/>
      <c r="C1289" s="116"/>
      <c r="D1289" s="116"/>
      <c r="E1289" s="116"/>
      <c r="F1289" s="116"/>
      <c r="G1289" s="117"/>
      <c r="H1289" s="117"/>
      <c r="I1289" s="117"/>
      <c r="J1289" s="623"/>
      <c r="K1289" s="625"/>
      <c r="L1289" s="116"/>
      <c r="M1289" s="623"/>
      <c r="N1289" s="625"/>
      <c r="O1289" s="116"/>
      <c r="X1289" s="2512"/>
      <c r="AA1289" s="65"/>
      <c r="AB1289" s="65"/>
      <c r="AC1289" s="65"/>
      <c r="AD1289" s="65"/>
      <c r="AE1289" s="65"/>
    </row>
    <row r="1290" spans="1:31" ht="15">
      <c r="A1290" s="952"/>
      <c r="B1290" s="116"/>
      <c r="C1290" s="116"/>
      <c r="D1290" s="116"/>
      <c r="E1290" s="116"/>
      <c r="F1290" s="116"/>
      <c r="G1290" s="117"/>
      <c r="H1290" s="117"/>
      <c r="I1290" s="117"/>
      <c r="J1290" s="623"/>
      <c r="K1290" s="625"/>
      <c r="L1290" s="116"/>
      <c r="M1290" s="623"/>
      <c r="N1290" s="625"/>
      <c r="O1290" s="116"/>
      <c r="X1290" s="2512"/>
      <c r="AA1290" s="65"/>
      <c r="AB1290" s="65"/>
      <c r="AC1290" s="65"/>
      <c r="AD1290" s="65"/>
      <c r="AE1290" s="65"/>
    </row>
    <row r="1291" spans="1:31" ht="15">
      <c r="A1291" s="952"/>
      <c r="B1291" s="116"/>
      <c r="C1291" s="116"/>
      <c r="D1291" s="116"/>
      <c r="E1291" s="116"/>
      <c r="F1291" s="116"/>
      <c r="G1291" s="117"/>
      <c r="H1291" s="117"/>
      <c r="I1291" s="117"/>
      <c r="J1291" s="623"/>
      <c r="K1291" s="625"/>
      <c r="L1291" s="116"/>
      <c r="M1291" s="623"/>
      <c r="N1291" s="625"/>
      <c r="O1291" s="116"/>
      <c r="X1291" s="2512"/>
      <c r="AA1291" s="65"/>
      <c r="AB1291" s="65"/>
      <c r="AC1291" s="65"/>
      <c r="AD1291" s="65"/>
      <c r="AE1291" s="65"/>
    </row>
    <row r="1292" spans="1:31" ht="15">
      <c r="A1292" s="952"/>
      <c r="B1292" s="116"/>
      <c r="C1292" s="116"/>
      <c r="D1292" s="116"/>
      <c r="E1292" s="116"/>
      <c r="F1292" s="116"/>
      <c r="G1292" s="117"/>
      <c r="H1292" s="117"/>
      <c r="I1292" s="117"/>
      <c r="J1292" s="623"/>
      <c r="K1292" s="625"/>
      <c r="L1292" s="116"/>
      <c r="M1292" s="623"/>
      <c r="N1292" s="625"/>
      <c r="O1292" s="116"/>
      <c r="X1292" s="2512"/>
      <c r="AA1292" s="65"/>
      <c r="AB1292" s="65"/>
      <c r="AC1292" s="65"/>
      <c r="AD1292" s="65"/>
      <c r="AE1292" s="65"/>
    </row>
    <row r="1293" spans="1:31" ht="15">
      <c r="A1293" s="952"/>
      <c r="B1293" s="116"/>
      <c r="C1293" s="116"/>
      <c r="D1293" s="116"/>
      <c r="E1293" s="116"/>
      <c r="F1293" s="116"/>
      <c r="G1293" s="117"/>
      <c r="H1293" s="117"/>
      <c r="I1293" s="117"/>
      <c r="J1293" s="623"/>
      <c r="K1293" s="625"/>
      <c r="L1293" s="116"/>
      <c r="M1293" s="623"/>
      <c r="N1293" s="625"/>
      <c r="O1293" s="116"/>
      <c r="X1293" s="2512"/>
      <c r="AA1293" s="65"/>
      <c r="AB1293" s="65"/>
      <c r="AC1293" s="65"/>
      <c r="AD1293" s="65"/>
      <c r="AE1293" s="65"/>
    </row>
    <row r="1294" spans="1:31" ht="15">
      <c r="A1294" s="952"/>
      <c r="B1294" s="116"/>
      <c r="C1294" s="116"/>
      <c r="D1294" s="116"/>
      <c r="E1294" s="116"/>
      <c r="F1294" s="116"/>
      <c r="G1294" s="117"/>
      <c r="H1294" s="117"/>
      <c r="I1294" s="117"/>
      <c r="J1294" s="623"/>
      <c r="K1294" s="625"/>
      <c r="L1294" s="116"/>
      <c r="M1294" s="623"/>
      <c r="N1294" s="625"/>
      <c r="O1294" s="116"/>
      <c r="X1294" s="2512"/>
      <c r="AA1294" s="65"/>
      <c r="AB1294" s="65"/>
      <c r="AC1294" s="65"/>
      <c r="AD1294" s="65"/>
      <c r="AE1294" s="65"/>
    </row>
    <row r="1295" spans="1:31" ht="15">
      <c r="A1295" s="952"/>
      <c r="B1295" s="116"/>
      <c r="C1295" s="116"/>
      <c r="D1295" s="116"/>
      <c r="E1295" s="116"/>
      <c r="F1295" s="116"/>
      <c r="G1295" s="117"/>
      <c r="H1295" s="117"/>
      <c r="I1295" s="117"/>
      <c r="J1295" s="623"/>
      <c r="K1295" s="625"/>
      <c r="L1295" s="116"/>
      <c r="M1295" s="623"/>
      <c r="N1295" s="625"/>
      <c r="O1295" s="116"/>
      <c r="X1295" s="2512"/>
      <c r="AA1295" s="65"/>
      <c r="AB1295" s="65"/>
      <c r="AC1295" s="65"/>
      <c r="AD1295" s="65"/>
      <c r="AE1295" s="65"/>
    </row>
    <row r="1296" spans="1:31" ht="15">
      <c r="A1296" s="952"/>
      <c r="B1296" s="116"/>
      <c r="C1296" s="116"/>
      <c r="D1296" s="116"/>
      <c r="E1296" s="116"/>
      <c r="F1296" s="116"/>
      <c r="G1296" s="117"/>
      <c r="H1296" s="117"/>
      <c r="I1296" s="117"/>
      <c r="J1296" s="623"/>
      <c r="K1296" s="625"/>
      <c r="L1296" s="116"/>
      <c r="M1296" s="623"/>
      <c r="N1296" s="625"/>
      <c r="O1296" s="116"/>
      <c r="X1296" s="2512"/>
      <c r="AA1296" s="65"/>
      <c r="AB1296" s="65"/>
      <c r="AC1296" s="65"/>
      <c r="AD1296" s="65"/>
      <c r="AE1296" s="65"/>
    </row>
    <row r="1297" spans="1:31" ht="15">
      <c r="A1297" s="952"/>
      <c r="B1297" s="116"/>
      <c r="C1297" s="116"/>
      <c r="D1297" s="116"/>
      <c r="E1297" s="116"/>
      <c r="F1297" s="116"/>
      <c r="G1297" s="117"/>
      <c r="H1297" s="117"/>
      <c r="I1297" s="117"/>
      <c r="J1297" s="623"/>
      <c r="K1297" s="625"/>
      <c r="L1297" s="116"/>
      <c r="M1297" s="623"/>
      <c r="N1297" s="625"/>
      <c r="O1297" s="116"/>
      <c r="X1297" s="2512"/>
      <c r="AA1297" s="65"/>
      <c r="AB1297" s="65"/>
      <c r="AC1297" s="65"/>
      <c r="AD1297" s="65"/>
      <c r="AE1297" s="65"/>
    </row>
    <row r="1298" spans="1:31" ht="15">
      <c r="A1298" s="952"/>
      <c r="B1298" s="116"/>
      <c r="C1298" s="116"/>
      <c r="D1298" s="116"/>
      <c r="E1298" s="116"/>
      <c r="F1298" s="116"/>
      <c r="G1298" s="117"/>
      <c r="H1298" s="117"/>
      <c r="I1298" s="117"/>
      <c r="J1298" s="623"/>
      <c r="K1298" s="625"/>
      <c r="L1298" s="116"/>
      <c r="M1298" s="623"/>
      <c r="N1298" s="625"/>
      <c r="O1298" s="116"/>
      <c r="X1298" s="2512"/>
      <c r="AA1298" s="65"/>
      <c r="AB1298" s="65"/>
      <c r="AC1298" s="65"/>
      <c r="AD1298" s="65"/>
      <c r="AE1298" s="65"/>
    </row>
    <row r="1299" spans="1:31" ht="15">
      <c r="A1299" s="952"/>
      <c r="B1299" s="116"/>
      <c r="C1299" s="116"/>
      <c r="D1299" s="116"/>
      <c r="E1299" s="116"/>
      <c r="F1299" s="116"/>
      <c r="G1299" s="117"/>
      <c r="H1299" s="117"/>
      <c r="I1299" s="117"/>
      <c r="J1299" s="623"/>
      <c r="K1299" s="625"/>
      <c r="L1299" s="116"/>
      <c r="M1299" s="623"/>
      <c r="N1299" s="625"/>
      <c r="O1299" s="116"/>
      <c r="X1299" s="2512"/>
      <c r="AA1299" s="65"/>
      <c r="AB1299" s="65"/>
      <c r="AC1299" s="65"/>
      <c r="AD1299" s="65"/>
      <c r="AE1299" s="65"/>
    </row>
    <row r="1300" spans="1:31" ht="15">
      <c r="A1300" s="952"/>
      <c r="B1300" s="116"/>
      <c r="C1300" s="116"/>
      <c r="D1300" s="116"/>
      <c r="E1300" s="116"/>
      <c r="F1300" s="116"/>
      <c r="G1300" s="117"/>
      <c r="H1300" s="117"/>
      <c r="I1300" s="117"/>
      <c r="J1300" s="623"/>
      <c r="K1300" s="625"/>
      <c r="L1300" s="116"/>
      <c r="M1300" s="623"/>
      <c r="N1300" s="625"/>
      <c r="O1300" s="116"/>
      <c r="X1300" s="2512"/>
      <c r="AA1300" s="65"/>
      <c r="AB1300" s="65"/>
      <c r="AC1300" s="65"/>
      <c r="AD1300" s="65"/>
      <c r="AE1300" s="65"/>
    </row>
    <row r="1301" spans="1:31" ht="15">
      <c r="A1301" s="952"/>
      <c r="B1301" s="116"/>
      <c r="D1301" s="116"/>
      <c r="E1301" s="116"/>
      <c r="F1301" s="116"/>
      <c r="G1301" s="117"/>
      <c r="H1301" s="117"/>
      <c r="I1301" s="117"/>
      <c r="J1301" s="623"/>
      <c r="K1301" s="625"/>
      <c r="L1301" s="116"/>
      <c r="M1301" s="623"/>
      <c r="N1301" s="625"/>
      <c r="O1301" s="116"/>
      <c r="X1301" s="2512"/>
      <c r="AA1301" s="65"/>
      <c r="AB1301" s="65"/>
      <c r="AC1301" s="65"/>
      <c r="AD1301" s="65"/>
      <c r="AE1301" s="65"/>
    </row>
    <row r="1302" spans="1:24" ht="15">
      <c r="A1302" s="952"/>
      <c r="B1302" s="116"/>
      <c r="C1302" s="116"/>
      <c r="D1302" s="116"/>
      <c r="E1302" s="116"/>
      <c r="F1302" s="116"/>
      <c r="G1302" s="117"/>
      <c r="H1302" s="117"/>
      <c r="I1302" s="117"/>
      <c r="J1302" s="117"/>
      <c r="K1302" s="117"/>
      <c r="L1302" s="623"/>
      <c r="M1302" s="728" t="s">
        <v>178</v>
      </c>
      <c r="N1302" s="625"/>
      <c r="O1302" s="116"/>
      <c r="X1302" s="2511" t="s">
        <v>178</v>
      </c>
    </row>
    <row r="1303" spans="1:24" ht="15">
      <c r="A1303" s="952"/>
      <c r="B1303" s="116"/>
      <c r="C1303" s="116"/>
      <c r="D1303" s="116"/>
      <c r="E1303" s="116"/>
      <c r="F1303" s="116"/>
      <c r="G1303" s="117"/>
      <c r="H1303" s="117"/>
      <c r="I1303" s="117"/>
      <c r="J1303" s="117"/>
      <c r="K1303" s="117"/>
      <c r="L1303" s="623"/>
      <c r="M1303" s="728" t="s">
        <v>181</v>
      </c>
      <c r="N1303" s="625"/>
      <c r="O1303" s="116"/>
      <c r="X1303" s="2511" t="s">
        <v>181</v>
      </c>
    </row>
    <row r="1304" spans="1:24" ht="15">
      <c r="A1304" s="952"/>
      <c r="B1304" s="116"/>
      <c r="C1304" s="116"/>
      <c r="D1304" s="116"/>
      <c r="E1304" s="116"/>
      <c r="F1304" s="116"/>
      <c r="G1304" s="117"/>
      <c r="H1304" s="117"/>
      <c r="I1304" s="117"/>
      <c r="J1304" s="117"/>
      <c r="K1304" s="117"/>
      <c r="L1304" s="623"/>
      <c r="M1304" s="728" t="s">
        <v>179</v>
      </c>
      <c r="N1304" s="729"/>
      <c r="O1304" s="730"/>
      <c r="X1304" s="2511" t="s">
        <v>179</v>
      </c>
    </row>
    <row r="1305" spans="1:24" ht="15">
      <c r="A1305" s="952"/>
      <c r="B1305" s="116"/>
      <c r="C1305" s="116"/>
      <c r="D1305" s="116"/>
      <c r="E1305" s="116"/>
      <c r="F1305" s="116"/>
      <c r="G1305" s="117"/>
      <c r="H1305" s="117"/>
      <c r="I1305" s="117"/>
      <c r="J1305" s="117"/>
      <c r="K1305" s="117"/>
      <c r="L1305" s="623"/>
      <c r="M1305" s="731"/>
      <c r="N1305" s="729"/>
      <c r="O1305" s="732" t="s">
        <v>345</v>
      </c>
      <c r="X1305" s="2512"/>
    </row>
    <row r="1306" spans="1:24" ht="15">
      <c r="A1306" s="952"/>
      <c r="B1306" s="116"/>
      <c r="C1306" s="116"/>
      <c r="D1306" s="116"/>
      <c r="E1306" s="116"/>
      <c r="F1306" s="116"/>
      <c r="G1306" s="117"/>
      <c r="H1306" s="116"/>
      <c r="I1306" s="117"/>
      <c r="J1306" s="117"/>
      <c r="K1306" s="117"/>
      <c r="L1306" s="623"/>
      <c r="M1306" s="1192">
        <f>M7</f>
        <v>1</v>
      </c>
      <c r="N1306" s="1027" t="str">
        <f>N7</f>
        <v>июля</v>
      </c>
      <c r="O1306" s="1027" t="str">
        <f>O7</f>
        <v>2017 г.</v>
      </c>
      <c r="X1306" s="2552" t="s">
        <v>257</v>
      </c>
    </row>
    <row r="1307" spans="1:24" ht="15">
      <c r="A1307" s="952"/>
      <c r="B1307" s="116"/>
      <c r="C1307" s="116"/>
      <c r="D1307" s="116"/>
      <c r="E1307" s="116"/>
      <c r="F1307" s="116"/>
      <c r="G1307" s="117"/>
      <c r="H1307" s="117"/>
      <c r="I1307" s="117"/>
      <c r="J1307" s="117"/>
      <c r="K1307" s="117"/>
      <c r="L1307" s="623"/>
      <c r="M1307" s="731"/>
      <c r="N1307" s="734"/>
      <c r="O1307" s="732"/>
      <c r="X1307" s="2512"/>
    </row>
    <row r="1308" spans="1:24" ht="18">
      <c r="A1308" s="2213" t="s">
        <v>439</v>
      </c>
      <c r="B1308" s="2213"/>
      <c r="C1308" s="2213"/>
      <c r="D1308" s="2213"/>
      <c r="E1308" s="2213"/>
      <c r="F1308" s="2213"/>
      <c r="G1308" s="2213"/>
      <c r="H1308" s="2213"/>
      <c r="I1308" s="2213"/>
      <c r="J1308" s="2213"/>
      <c r="K1308" s="2213"/>
      <c r="L1308" s="2213"/>
      <c r="M1308" s="2213"/>
      <c r="N1308" s="2213"/>
      <c r="O1308" s="2213"/>
      <c r="X1308" s="2509"/>
    </row>
    <row r="1309" spans="1:24" ht="18">
      <c r="A1309" s="2213" t="s">
        <v>833</v>
      </c>
      <c r="B1309" s="2213"/>
      <c r="C1309" s="2213"/>
      <c r="D1309" s="2213"/>
      <c r="E1309" s="2213"/>
      <c r="F1309" s="2213"/>
      <c r="G1309" s="2213"/>
      <c r="H1309" s="2213"/>
      <c r="I1309" s="2213"/>
      <c r="J1309" s="2213"/>
      <c r="K1309" s="2213"/>
      <c r="L1309" s="2213"/>
      <c r="M1309" s="2213"/>
      <c r="N1309" s="2213"/>
      <c r="O1309" s="2213"/>
      <c r="X1309" s="2509"/>
    </row>
    <row r="1310" spans="1:24" ht="18" customHeight="1">
      <c r="A1310" s="2191" t="s">
        <v>834</v>
      </c>
      <c r="B1310" s="2191"/>
      <c r="C1310" s="2191"/>
      <c r="D1310" s="2191"/>
      <c r="E1310" s="2191"/>
      <c r="F1310" s="2191"/>
      <c r="G1310" s="2191"/>
      <c r="H1310" s="2191"/>
      <c r="I1310" s="2191"/>
      <c r="J1310" s="2191"/>
      <c r="K1310" s="2191"/>
      <c r="L1310" s="2191"/>
      <c r="M1310" s="2191"/>
      <c r="N1310" s="2191"/>
      <c r="O1310" s="2191"/>
      <c r="X1310" s="2509"/>
    </row>
    <row r="1311" spans="1:24" ht="18" customHeight="1">
      <c r="A1311" s="2191" t="s">
        <v>835</v>
      </c>
      <c r="B1311" s="2191"/>
      <c r="C1311" s="2191"/>
      <c r="D1311" s="2191"/>
      <c r="E1311" s="2191"/>
      <c r="F1311" s="2191"/>
      <c r="G1311" s="2191"/>
      <c r="H1311" s="2191"/>
      <c r="I1311" s="2191"/>
      <c r="J1311" s="2191"/>
      <c r="K1311" s="2191"/>
      <c r="L1311" s="2191"/>
      <c r="M1311" s="2191"/>
      <c r="N1311" s="2191"/>
      <c r="O1311" s="2191"/>
      <c r="X1311" s="2509"/>
    </row>
    <row r="1312" spans="1:24" ht="12.75">
      <c r="A1312" s="2215"/>
      <c r="B1312" s="2215"/>
      <c r="C1312" s="2215"/>
      <c r="D1312" s="2215"/>
      <c r="E1312" s="2215"/>
      <c r="F1312" s="2215"/>
      <c r="G1312" s="2215"/>
      <c r="H1312" s="2215"/>
      <c r="I1312" s="2215"/>
      <c r="J1312" s="2215"/>
      <c r="K1312" s="2215"/>
      <c r="L1312" s="2215"/>
      <c r="M1312" s="5"/>
      <c r="N1312" s="5"/>
      <c r="X1312" s="2509"/>
    </row>
    <row r="1313" spans="1:24" ht="15.75" customHeight="1">
      <c r="A1313" s="738"/>
      <c r="B1313" s="735"/>
      <c r="C1313" s="736" t="str">
        <f>C13</f>
        <v>вводится с </v>
      </c>
      <c r="D1313" s="737" t="str">
        <f>D13</f>
        <v>01.07.2017г.</v>
      </c>
      <c r="E1313" s="735"/>
      <c r="F1313" s="735"/>
      <c r="G1313" s="735"/>
      <c r="H1313" s="735"/>
      <c r="I1313" s="738"/>
      <c r="J1313" s="739"/>
      <c r="K1313" s="740"/>
      <c r="L1313" s="735"/>
      <c r="M1313" s="739"/>
      <c r="N1313" s="740"/>
      <c r="O1313" s="735"/>
      <c r="X1313" s="2528"/>
    </row>
    <row r="1314" spans="1:24" ht="15.75" customHeight="1">
      <c r="A1314" s="1411"/>
      <c r="B1314" s="1412"/>
      <c r="C1314" s="1419"/>
      <c r="D1314" s="1413"/>
      <c r="E1314" s="1420"/>
      <c r="F1314" s="1412"/>
      <c r="G1314" s="752" t="s">
        <v>837</v>
      </c>
      <c r="H1314" s="1412"/>
      <c r="I1314" s="1414"/>
      <c r="J1314" s="2196" t="s">
        <v>485</v>
      </c>
      <c r="K1314" s="2196"/>
      <c r="L1314" s="2196"/>
      <c r="M1314" s="2055"/>
      <c r="N1314" s="2056"/>
      <c r="O1314" s="2057"/>
      <c r="X1314" s="2528"/>
    </row>
    <row r="1315" spans="1:24" ht="15.75" customHeight="1">
      <c r="A1315" s="1415"/>
      <c r="B1315" s="735"/>
      <c r="C1315" s="1421"/>
      <c r="D1315" s="1410"/>
      <c r="E1315" s="1422"/>
      <c r="F1315" s="735"/>
      <c r="G1315" s="750" t="s">
        <v>840</v>
      </c>
      <c r="H1315" s="735"/>
      <c r="I1315" s="1416"/>
      <c r="J1315" s="2196"/>
      <c r="K1315" s="2196"/>
      <c r="L1315" s="2196"/>
      <c r="M1315" s="2058"/>
      <c r="N1315" s="2059"/>
      <c r="O1315" s="2060"/>
      <c r="X1315" s="2528"/>
    </row>
    <row r="1316" spans="1:24" ht="12.75">
      <c r="A1316" s="2192" t="s">
        <v>836</v>
      </c>
      <c r="B1316" s="2193"/>
      <c r="C1316" s="741"/>
      <c r="D1316" s="727"/>
      <c r="E1316" s="1417"/>
      <c r="F1316" s="727"/>
      <c r="G1316" s="750" t="s">
        <v>845</v>
      </c>
      <c r="H1316" s="743" t="s">
        <v>838</v>
      </c>
      <c r="I1316" s="751"/>
      <c r="J1316" s="1407" t="s">
        <v>839</v>
      </c>
      <c r="K1316" s="1408"/>
      <c r="L1316" s="1409"/>
      <c r="M1316" s="1407" t="s">
        <v>839</v>
      </c>
      <c r="N1316" s="1408"/>
      <c r="O1316" s="1409"/>
      <c r="X1316" s="2553" t="s">
        <v>839</v>
      </c>
    </row>
    <row r="1317" spans="1:24" ht="12.75">
      <c r="A1317" s="2192"/>
      <c r="B1317" s="2193"/>
      <c r="C1317" s="741"/>
      <c r="D1317" s="742"/>
      <c r="E1317" s="1417"/>
      <c r="F1317" s="749"/>
      <c r="G1317" s="750" t="s">
        <v>850</v>
      </c>
      <c r="H1317" s="1423"/>
      <c r="I1317" s="744"/>
      <c r="J1317" s="746" t="s">
        <v>841</v>
      </c>
      <c r="K1317" s="747"/>
      <c r="L1317" s="748" t="s">
        <v>842</v>
      </c>
      <c r="M1317" s="746" t="s">
        <v>841</v>
      </c>
      <c r="N1317" s="747"/>
      <c r="O1317" s="748" t="s">
        <v>842</v>
      </c>
      <c r="X1317" s="2553" t="s">
        <v>841</v>
      </c>
    </row>
    <row r="1318" spans="1:24" ht="12.75">
      <c r="A1318" s="2192"/>
      <c r="B1318" s="2193"/>
      <c r="C1318" s="741"/>
      <c r="D1318" s="749" t="s">
        <v>843</v>
      </c>
      <c r="E1318" s="1417"/>
      <c r="F1318" s="743" t="s">
        <v>844</v>
      </c>
      <c r="G1318" s="750" t="s">
        <v>847</v>
      </c>
      <c r="H1318" s="743" t="s">
        <v>846</v>
      </c>
      <c r="I1318" s="752" t="s">
        <v>847</v>
      </c>
      <c r="J1318" s="753"/>
      <c r="K1318" s="754"/>
      <c r="L1318" s="755" t="s">
        <v>449</v>
      </c>
      <c r="M1318" s="753"/>
      <c r="N1318" s="754"/>
      <c r="O1318" s="755" t="s">
        <v>449</v>
      </c>
      <c r="X1318" s="2554"/>
    </row>
    <row r="1319" spans="1:24" ht="12.75">
      <c r="A1319" s="2192"/>
      <c r="B1319" s="2193"/>
      <c r="C1319" s="741"/>
      <c r="D1319" s="749" t="s">
        <v>848</v>
      </c>
      <c r="E1319" s="1417"/>
      <c r="F1319" s="743" t="s">
        <v>849</v>
      </c>
      <c r="G1319" s="750" t="s">
        <v>852</v>
      </c>
      <c r="H1319" s="743" t="s">
        <v>851</v>
      </c>
      <c r="I1319" s="750" t="s">
        <v>852</v>
      </c>
      <c r="J1319" s="753"/>
      <c r="K1319" s="754"/>
      <c r="L1319" s="755" t="s">
        <v>853</v>
      </c>
      <c r="M1319" s="753"/>
      <c r="N1319" s="754"/>
      <c r="O1319" s="755" t="s">
        <v>853</v>
      </c>
      <c r="X1319" s="2554"/>
    </row>
    <row r="1320" spans="1:24" ht="12.75">
      <c r="A1320" s="2192"/>
      <c r="B1320" s="2193"/>
      <c r="C1320" s="741"/>
      <c r="D1320" s="727"/>
      <c r="E1320" s="1417"/>
      <c r="F1320" s="727"/>
      <c r="G1320" s="750" t="s">
        <v>854</v>
      </c>
      <c r="H1320" s="743" t="s">
        <v>845</v>
      </c>
      <c r="I1320" s="750" t="s">
        <v>854</v>
      </c>
      <c r="J1320" s="753" t="s">
        <v>855</v>
      </c>
      <c r="K1320" s="754" t="s">
        <v>856</v>
      </c>
      <c r="L1320" s="755"/>
      <c r="M1320" s="753" t="s">
        <v>855</v>
      </c>
      <c r="N1320" s="754" t="s">
        <v>856</v>
      </c>
      <c r="O1320" s="755"/>
      <c r="X1320" s="2554" t="s">
        <v>855</v>
      </c>
    </row>
    <row r="1321" spans="1:24" ht="12.75">
      <c r="A1321" s="2192"/>
      <c r="B1321" s="2193"/>
      <c r="C1321" s="741"/>
      <c r="D1321" s="727"/>
      <c r="E1321" s="1417"/>
      <c r="F1321" s="727"/>
      <c r="G1321" s="750" t="s">
        <v>859</v>
      </c>
      <c r="H1321" s="743" t="s">
        <v>858</v>
      </c>
      <c r="I1321" s="750" t="s">
        <v>859</v>
      </c>
      <c r="J1321" s="753"/>
      <c r="K1321" s="754" t="s">
        <v>860</v>
      </c>
      <c r="L1321" s="755"/>
      <c r="M1321" s="753"/>
      <c r="N1321" s="754" t="s">
        <v>860</v>
      </c>
      <c r="O1321" s="755"/>
      <c r="X1321" s="2554"/>
    </row>
    <row r="1322" spans="1:24" ht="12.75">
      <c r="A1322" s="2192"/>
      <c r="B1322" s="2193"/>
      <c r="C1322" s="741"/>
      <c r="D1322" s="727"/>
      <c r="E1322" s="1417"/>
      <c r="F1322" s="727"/>
      <c r="G1322" s="750" t="s">
        <v>860</v>
      </c>
      <c r="H1322" s="743"/>
      <c r="I1322" s="750" t="s">
        <v>860</v>
      </c>
      <c r="J1322" s="757"/>
      <c r="K1322" s="758"/>
      <c r="L1322" s="759"/>
      <c r="M1322" s="757"/>
      <c r="N1322" s="758"/>
      <c r="O1322" s="759"/>
      <c r="X1322" s="2555"/>
    </row>
    <row r="1323" spans="1:24" ht="12.75">
      <c r="A1323" s="2194"/>
      <c r="B1323" s="2195"/>
      <c r="C1323" s="760"/>
      <c r="D1323" s="761"/>
      <c r="E1323" s="1418"/>
      <c r="F1323" s="761"/>
      <c r="G1323" s="1424"/>
      <c r="H1323" s="762" t="s">
        <v>457</v>
      </c>
      <c r="I1323" s="763" t="s">
        <v>457</v>
      </c>
      <c r="J1323" s="764" t="s">
        <v>457</v>
      </c>
      <c r="K1323" s="765" t="s">
        <v>457</v>
      </c>
      <c r="L1323" s="766" t="s">
        <v>457</v>
      </c>
      <c r="M1323" s="764" t="s">
        <v>457</v>
      </c>
      <c r="N1323" s="765" t="s">
        <v>457</v>
      </c>
      <c r="O1323" s="766" t="s">
        <v>457</v>
      </c>
      <c r="X1323" s="2556" t="s">
        <v>457</v>
      </c>
    </row>
    <row r="1324" spans="1:24" ht="16.5">
      <c r="A1324" s="2214" t="s">
        <v>862</v>
      </c>
      <c r="B1324" s="2214"/>
      <c r="C1324" s="767" t="s">
        <v>863</v>
      </c>
      <c r="D1324" s="768"/>
      <c r="E1324" s="769"/>
      <c r="F1324" s="756"/>
      <c r="G1324" s="742"/>
      <c r="H1324" s="770"/>
      <c r="I1324" s="1285"/>
      <c r="J1324" s="771"/>
      <c r="K1324" s="772"/>
      <c r="L1324" s="773"/>
      <c r="M1324" s="771"/>
      <c r="N1324" s="1402"/>
      <c r="O1324" s="773"/>
      <c r="X1324" s="2517"/>
    </row>
    <row r="1325" spans="1:24" ht="18.75">
      <c r="A1325" s="2178">
        <v>1</v>
      </c>
      <c r="B1325" s="2179"/>
      <c r="C1325" s="774" t="s">
        <v>238</v>
      </c>
      <c r="D1325" s="775"/>
      <c r="E1325" s="769"/>
      <c r="F1325" s="1530" t="s">
        <v>773</v>
      </c>
      <c r="G1325" s="777">
        <v>2</v>
      </c>
      <c r="H1325" s="2032">
        <f>M579</f>
        <v>6.62</v>
      </c>
      <c r="I1325" s="1286"/>
      <c r="J1325" s="780">
        <f>G1325*H1325</f>
        <v>13.24</v>
      </c>
      <c r="K1325" s="781"/>
      <c r="L1325" s="1374">
        <f>J1325+K1325</f>
        <v>13.24</v>
      </c>
      <c r="M1325" s="1513">
        <f>J1325</f>
        <v>13.24</v>
      </c>
      <c r="N1325" s="1514"/>
      <c r="O1325" s="1511">
        <f>M1325+N1325</f>
        <v>13.24</v>
      </c>
      <c r="X1325" s="2529">
        <f>U1325*V1325</f>
        <v>0</v>
      </c>
    </row>
    <row r="1326" spans="1:24" ht="18.75">
      <c r="A1326" s="2180"/>
      <c r="B1326" s="2181"/>
      <c r="C1326" s="782" t="s">
        <v>237</v>
      </c>
      <c r="D1326" s="775"/>
      <c r="E1326" s="769"/>
      <c r="F1326" s="1530"/>
      <c r="G1326" s="777"/>
      <c r="H1326" s="778"/>
      <c r="I1326" s="1286"/>
      <c r="J1326" s="780"/>
      <c r="K1326" s="781"/>
      <c r="L1326" s="1374"/>
      <c r="M1326" s="1513"/>
      <c r="N1326" s="1514"/>
      <c r="O1326" s="1511"/>
      <c r="X1326" s="2529"/>
    </row>
    <row r="1327" spans="1:24" ht="18.75">
      <c r="A1327" s="2180">
        <v>2</v>
      </c>
      <c r="B1327" s="2181"/>
      <c r="C1327" s="774" t="s">
        <v>864</v>
      </c>
      <c r="D1327" s="775"/>
      <c r="E1327" s="769"/>
      <c r="F1327" s="1530" t="s">
        <v>773</v>
      </c>
      <c r="G1327" s="777">
        <v>3</v>
      </c>
      <c r="H1327" s="2032">
        <f>M580</f>
        <v>7.73</v>
      </c>
      <c r="I1327" s="1286"/>
      <c r="J1327" s="780">
        <f>G1327*H1327</f>
        <v>23.19</v>
      </c>
      <c r="K1327" s="781"/>
      <c r="L1327" s="1374">
        <f>J1327+K1327</f>
        <v>23.19</v>
      </c>
      <c r="M1327" s="1513">
        <f>J1327</f>
        <v>23.19</v>
      </c>
      <c r="N1327" s="1514"/>
      <c r="O1327" s="1511">
        <f>M1327+N1327</f>
        <v>23.19</v>
      </c>
      <c r="X1327" s="2529">
        <f>U1327*V1327</f>
        <v>0</v>
      </c>
    </row>
    <row r="1328" spans="1:24" ht="18.75">
      <c r="A1328" s="2180"/>
      <c r="B1328" s="2181"/>
      <c r="C1328" s="774" t="s">
        <v>865</v>
      </c>
      <c r="D1328" s="775"/>
      <c r="E1328" s="769"/>
      <c r="F1328" s="1530"/>
      <c r="G1328" s="777"/>
      <c r="H1328" s="778"/>
      <c r="I1328" s="1286"/>
      <c r="J1328" s="780"/>
      <c r="K1328" s="781"/>
      <c r="L1328" s="1374"/>
      <c r="M1328" s="1513"/>
      <c r="N1328" s="1514"/>
      <c r="O1328" s="1511"/>
      <c r="X1328" s="2529"/>
    </row>
    <row r="1329" spans="1:24" ht="18.75">
      <c r="A1329" s="2170">
        <v>3</v>
      </c>
      <c r="B1329" s="2171"/>
      <c r="C1329" s="774" t="s">
        <v>866</v>
      </c>
      <c r="D1329" s="775"/>
      <c r="E1329" s="769"/>
      <c r="F1329" s="1530"/>
      <c r="G1329" s="777"/>
      <c r="H1329" s="778"/>
      <c r="I1329" s="1286"/>
      <c r="J1329" s="780"/>
      <c r="K1329" s="781"/>
      <c r="L1329" s="1374"/>
      <c r="M1329" s="1513"/>
      <c r="N1329" s="1514"/>
      <c r="O1329" s="1511"/>
      <c r="X1329" s="2529"/>
    </row>
    <row r="1330" spans="1:24" ht="18.75">
      <c r="A1330" s="2200" t="s">
        <v>867</v>
      </c>
      <c r="B1330" s="2201"/>
      <c r="C1330" s="774" t="s">
        <v>868</v>
      </c>
      <c r="D1330" s="775"/>
      <c r="E1330" s="769"/>
      <c r="F1330" s="1530" t="s">
        <v>869</v>
      </c>
      <c r="G1330" s="777">
        <v>1</v>
      </c>
      <c r="H1330" s="778">
        <f>'лаб-рия'!J23</f>
        <v>0.47</v>
      </c>
      <c r="I1330" s="1286"/>
      <c r="J1330" s="780">
        <f>G1330*H1330</f>
        <v>0.47</v>
      </c>
      <c r="K1330" s="781"/>
      <c r="L1330" s="1374">
        <f>J1330+K1330</f>
        <v>0.47</v>
      </c>
      <c r="M1330" s="1513">
        <f>J1330</f>
        <v>0.47</v>
      </c>
      <c r="N1330" s="1514"/>
      <c r="O1330" s="1511">
        <f>M1330+N1330</f>
        <v>0.47</v>
      </c>
      <c r="X1330" s="2529">
        <f>U1330*V1330</f>
        <v>0</v>
      </c>
    </row>
    <row r="1331" spans="1:24" ht="18.75">
      <c r="A1331" s="2200"/>
      <c r="B1331" s="2201"/>
      <c r="C1331" s="774" t="s">
        <v>870</v>
      </c>
      <c r="D1331" s="775"/>
      <c r="E1331" s="769"/>
      <c r="F1331" s="783"/>
      <c r="G1331" s="777"/>
      <c r="H1331" s="778"/>
      <c r="I1331" s="1286"/>
      <c r="J1331" s="780"/>
      <c r="K1331" s="781"/>
      <c r="L1331" s="1374"/>
      <c r="M1331" s="1513"/>
      <c r="N1331" s="1514"/>
      <c r="O1331" s="1511"/>
      <c r="X1331" s="2529"/>
    </row>
    <row r="1332" spans="1:24" ht="18.75">
      <c r="A1332" s="2170" t="s">
        <v>871</v>
      </c>
      <c r="B1332" s="2171"/>
      <c r="C1332" s="774" t="s">
        <v>872</v>
      </c>
      <c r="D1332" s="775"/>
      <c r="E1332" s="769"/>
      <c r="F1332" s="783" t="s">
        <v>873</v>
      </c>
      <c r="G1332" s="777">
        <v>1</v>
      </c>
      <c r="H1332" s="778">
        <f>'лаб-рия'!J28</f>
        <v>0.42</v>
      </c>
      <c r="I1332" s="2033">
        <f>'лаб-рия'!L26</f>
        <v>0.0954</v>
      </c>
      <c r="J1332" s="780">
        <f aca="true" t="shared" si="152" ref="J1332:J1342">G1332*H1332</f>
        <v>0.42</v>
      </c>
      <c r="K1332" s="781">
        <f aca="true" t="shared" si="153" ref="K1332:K1340">G1332*I1332</f>
        <v>0.0954</v>
      </c>
      <c r="L1332" s="1374">
        <f aca="true" t="shared" si="154" ref="L1332:L1342">J1332+K1332</f>
        <v>0.5154</v>
      </c>
      <c r="M1332" s="1513">
        <f aca="true" t="shared" si="155" ref="M1332:M1342">J1332</f>
        <v>0.42</v>
      </c>
      <c r="N1332" s="1515">
        <f>K1332</f>
        <v>0.0954</v>
      </c>
      <c r="O1332" s="1511">
        <f>M1332+N1332</f>
        <v>0.5154</v>
      </c>
      <c r="X1332" s="2529">
        <f aca="true" t="shared" si="156" ref="X1332:X1342">U1332*V1332</f>
        <v>0</v>
      </c>
    </row>
    <row r="1333" spans="1:24" ht="18.75">
      <c r="A1333" s="2170" t="s">
        <v>874</v>
      </c>
      <c r="B1333" s="2171"/>
      <c r="C1333" s="774" t="s">
        <v>875</v>
      </c>
      <c r="D1333" s="775"/>
      <c r="E1333" s="769"/>
      <c r="F1333" s="783" t="s">
        <v>873</v>
      </c>
      <c r="G1333" s="777">
        <v>1</v>
      </c>
      <c r="H1333" s="778">
        <f>'лаб-рия'!J30</f>
        <v>0.52</v>
      </c>
      <c r="I1333" s="2033">
        <f>'лаб-рия'!L30</f>
        <v>0.5331999999999999</v>
      </c>
      <c r="J1333" s="780">
        <f t="shared" si="152"/>
        <v>0.52</v>
      </c>
      <c r="K1333" s="781">
        <f t="shared" si="153"/>
        <v>0.5331999999999999</v>
      </c>
      <c r="L1333" s="1374">
        <f t="shared" si="154"/>
        <v>1.0532</v>
      </c>
      <c r="M1333" s="1513">
        <f t="shared" si="155"/>
        <v>0.52</v>
      </c>
      <c r="N1333" s="1515">
        <f aca="true" t="shared" si="157" ref="N1333:N1342">K1333</f>
        <v>0.5331999999999999</v>
      </c>
      <c r="O1333" s="1511">
        <f aca="true" t="shared" si="158" ref="O1333:O1342">M1333+N1333</f>
        <v>1.0532</v>
      </c>
      <c r="X1333" s="2529">
        <f t="shared" si="156"/>
        <v>0</v>
      </c>
    </row>
    <row r="1334" spans="1:24" ht="18.75">
      <c r="A1334" s="2170" t="s">
        <v>876</v>
      </c>
      <c r="B1334" s="2171"/>
      <c r="C1334" s="774" t="s">
        <v>877</v>
      </c>
      <c r="D1334" s="775"/>
      <c r="E1334" s="769"/>
      <c r="F1334" s="783" t="s">
        <v>873</v>
      </c>
      <c r="G1334" s="777">
        <v>1</v>
      </c>
      <c r="H1334" s="778">
        <f>'лаб-рия'!J31</f>
        <v>0.31</v>
      </c>
      <c r="I1334" s="2033">
        <f>'лаб-рия'!L31</f>
        <v>0.0826</v>
      </c>
      <c r="J1334" s="780">
        <f t="shared" si="152"/>
        <v>0.31</v>
      </c>
      <c r="K1334" s="781">
        <f t="shared" si="153"/>
        <v>0.0826</v>
      </c>
      <c r="L1334" s="1374">
        <f t="shared" si="154"/>
        <v>0.3926</v>
      </c>
      <c r="M1334" s="1513">
        <f t="shared" si="155"/>
        <v>0.31</v>
      </c>
      <c r="N1334" s="1515">
        <f t="shared" si="157"/>
        <v>0.0826</v>
      </c>
      <c r="O1334" s="1511">
        <f t="shared" si="158"/>
        <v>0.3926</v>
      </c>
      <c r="X1334" s="2529">
        <f t="shared" si="156"/>
        <v>0</v>
      </c>
    </row>
    <row r="1335" spans="1:24" ht="18.75">
      <c r="A1335" s="2170" t="s">
        <v>878</v>
      </c>
      <c r="B1335" s="2171"/>
      <c r="C1335" s="774" t="s">
        <v>879</v>
      </c>
      <c r="D1335" s="775"/>
      <c r="E1335" s="769"/>
      <c r="F1335" s="1530" t="s">
        <v>573</v>
      </c>
      <c r="G1335" s="777">
        <v>1</v>
      </c>
      <c r="H1335" s="778">
        <f>'лаб-рия'!J345-H1330-H1332</f>
        <v>6.880000000000001</v>
      </c>
      <c r="I1335" s="2033">
        <f>'лаб-рия'!L345-I1332</f>
        <v>1.31279</v>
      </c>
      <c r="J1335" s="780">
        <f t="shared" si="152"/>
        <v>6.880000000000001</v>
      </c>
      <c r="K1335" s="781">
        <f t="shared" si="153"/>
        <v>1.31279</v>
      </c>
      <c r="L1335" s="1374">
        <f t="shared" si="154"/>
        <v>8.19279</v>
      </c>
      <c r="M1335" s="1513">
        <f t="shared" si="155"/>
        <v>6.880000000000001</v>
      </c>
      <c r="N1335" s="1515">
        <f t="shared" si="157"/>
        <v>1.31279</v>
      </c>
      <c r="O1335" s="1511">
        <f t="shared" si="158"/>
        <v>8.19279</v>
      </c>
      <c r="X1335" s="2529">
        <f t="shared" si="156"/>
        <v>0</v>
      </c>
    </row>
    <row r="1336" spans="1:24" ht="18.75">
      <c r="A1336" s="2170" t="s">
        <v>880</v>
      </c>
      <c r="B1336" s="2171"/>
      <c r="C1336" s="774" t="s">
        <v>881</v>
      </c>
      <c r="D1336" s="775"/>
      <c r="E1336" s="769"/>
      <c r="F1336" s="1530" t="s">
        <v>573</v>
      </c>
      <c r="G1336" s="777">
        <v>1</v>
      </c>
      <c r="H1336" s="778">
        <f>'лаб-рия'!J256</f>
        <v>2.5</v>
      </c>
      <c r="I1336" s="2033">
        <f>'лаб-рия'!L256</f>
        <v>0.49523399999999995</v>
      </c>
      <c r="J1336" s="780">
        <f t="shared" si="152"/>
        <v>2.5</v>
      </c>
      <c r="K1336" s="781">
        <f t="shared" si="153"/>
        <v>0.49523399999999995</v>
      </c>
      <c r="L1336" s="1374">
        <f t="shared" si="154"/>
        <v>2.995234</v>
      </c>
      <c r="M1336" s="1516">
        <f t="shared" si="155"/>
        <v>2.5</v>
      </c>
      <c r="N1336" s="1515">
        <f t="shared" si="157"/>
        <v>0.49523399999999995</v>
      </c>
      <c r="O1336" s="1511">
        <f t="shared" si="158"/>
        <v>2.995234</v>
      </c>
      <c r="X1336" s="2529">
        <f t="shared" si="156"/>
        <v>0</v>
      </c>
    </row>
    <row r="1337" spans="1:24" ht="18.75">
      <c r="A1337" s="2170" t="s">
        <v>882</v>
      </c>
      <c r="B1337" s="2171"/>
      <c r="C1337" s="774" t="s">
        <v>883</v>
      </c>
      <c r="D1337" s="775"/>
      <c r="E1337" s="769"/>
      <c r="F1337" s="1530" t="s">
        <v>573</v>
      </c>
      <c r="G1337" s="777">
        <v>1</v>
      </c>
      <c r="H1337" s="778">
        <f>'лаб-рия'!J112</f>
        <v>1.58</v>
      </c>
      <c r="I1337" s="2033">
        <f>'лаб-рия'!L112</f>
        <v>1.01074</v>
      </c>
      <c r="J1337" s="780">
        <f t="shared" si="152"/>
        <v>1.58</v>
      </c>
      <c r="K1337" s="781">
        <f t="shared" si="153"/>
        <v>1.01074</v>
      </c>
      <c r="L1337" s="1374">
        <f t="shared" si="154"/>
        <v>2.5907400000000003</v>
      </c>
      <c r="M1337" s="1513">
        <f t="shared" si="155"/>
        <v>1.58</v>
      </c>
      <c r="N1337" s="1515">
        <f t="shared" si="157"/>
        <v>1.01074</v>
      </c>
      <c r="O1337" s="1511">
        <f t="shared" si="158"/>
        <v>2.5907400000000003</v>
      </c>
      <c r="X1337" s="2529">
        <f t="shared" si="156"/>
        <v>0</v>
      </c>
    </row>
    <row r="1338" spans="1:24" ht="18.75">
      <c r="A1338" s="2170" t="s">
        <v>886</v>
      </c>
      <c r="B1338" s="2171"/>
      <c r="C1338" s="774" t="s">
        <v>887</v>
      </c>
      <c r="D1338" s="775"/>
      <c r="E1338" s="769"/>
      <c r="F1338" s="1530" t="s">
        <v>573</v>
      </c>
      <c r="G1338" s="777">
        <v>1</v>
      </c>
      <c r="H1338" s="778">
        <f>'лаб-рия'!J58</f>
        <v>0.78</v>
      </c>
      <c r="I1338" s="2033">
        <f>'лаб-рия'!L58</f>
        <v>0.48743</v>
      </c>
      <c r="J1338" s="780">
        <f t="shared" si="152"/>
        <v>0.78</v>
      </c>
      <c r="K1338" s="781">
        <f t="shared" si="153"/>
        <v>0.48743</v>
      </c>
      <c r="L1338" s="1374">
        <f t="shared" si="154"/>
        <v>1.26743</v>
      </c>
      <c r="M1338" s="1513">
        <f t="shared" si="155"/>
        <v>0.78</v>
      </c>
      <c r="N1338" s="1515">
        <f t="shared" si="157"/>
        <v>0.48743</v>
      </c>
      <c r="O1338" s="1511">
        <f t="shared" si="158"/>
        <v>1.26743</v>
      </c>
      <c r="X1338" s="2529">
        <f t="shared" si="156"/>
        <v>0</v>
      </c>
    </row>
    <row r="1339" spans="1:24" ht="18.75">
      <c r="A1339" s="2170" t="s">
        <v>888</v>
      </c>
      <c r="B1339" s="2171"/>
      <c r="C1339" s="774" t="s">
        <v>889</v>
      </c>
      <c r="D1339" s="775"/>
      <c r="E1339" s="769"/>
      <c r="F1339" s="1530" t="s">
        <v>573</v>
      </c>
      <c r="G1339" s="777">
        <v>1</v>
      </c>
      <c r="H1339" s="778">
        <f>'лаб-рия'!J61</f>
        <v>0.67</v>
      </c>
      <c r="I1339" s="2033">
        <f>'лаб-рия'!L61</f>
        <v>0.21892999999999999</v>
      </c>
      <c r="J1339" s="780">
        <f>G1339*H1339</f>
        <v>0.67</v>
      </c>
      <c r="K1339" s="781">
        <f>G1339*I1339</f>
        <v>0.21892999999999999</v>
      </c>
      <c r="L1339" s="1374">
        <f t="shared" si="154"/>
        <v>0.88893</v>
      </c>
      <c r="M1339" s="1513">
        <f t="shared" si="155"/>
        <v>0.67</v>
      </c>
      <c r="N1339" s="1515">
        <f t="shared" si="157"/>
        <v>0.21892999999999999</v>
      </c>
      <c r="O1339" s="1511">
        <f t="shared" si="158"/>
        <v>0.88893</v>
      </c>
      <c r="X1339" s="2529">
        <f>U1339*V1339</f>
        <v>0</v>
      </c>
    </row>
    <row r="1340" spans="1:24" ht="18.75">
      <c r="A1340" s="2170" t="s">
        <v>890</v>
      </c>
      <c r="B1340" s="2171"/>
      <c r="C1340" s="774" t="s">
        <v>891</v>
      </c>
      <c r="D1340" s="775"/>
      <c r="E1340" s="769"/>
      <c r="F1340" s="1530" t="s">
        <v>573</v>
      </c>
      <c r="G1340" s="777">
        <v>1</v>
      </c>
      <c r="H1340" s="778">
        <f>'лаб-рия'!J80</f>
        <v>0.83</v>
      </c>
      <c r="I1340" s="2033">
        <f>'лаб-рия'!L80</f>
        <v>0.29233000000000003</v>
      </c>
      <c r="J1340" s="780">
        <f>G1340*H1340</f>
        <v>0.83</v>
      </c>
      <c r="K1340" s="781">
        <f t="shared" si="153"/>
        <v>0.29233000000000003</v>
      </c>
      <c r="L1340" s="1374">
        <f t="shared" si="154"/>
        <v>1.12233</v>
      </c>
      <c r="M1340" s="1513">
        <f t="shared" si="155"/>
        <v>0.83</v>
      </c>
      <c r="N1340" s="1515">
        <f t="shared" si="157"/>
        <v>0.29233000000000003</v>
      </c>
      <c r="O1340" s="1511">
        <f t="shared" si="158"/>
        <v>1.12233</v>
      </c>
      <c r="X1340" s="2529">
        <f>U1340*V1340</f>
        <v>0</v>
      </c>
    </row>
    <row r="1341" spans="1:24" ht="18.75">
      <c r="A1341" s="2170" t="s">
        <v>892</v>
      </c>
      <c r="B1341" s="2171"/>
      <c r="C1341" s="774" t="s">
        <v>893</v>
      </c>
      <c r="D1341" s="775"/>
      <c r="E1341" s="769"/>
      <c r="F1341" s="1530" t="s">
        <v>573</v>
      </c>
      <c r="G1341" s="777">
        <v>1</v>
      </c>
      <c r="H1341" s="778">
        <f>'лаб-рия'!J78</f>
        <v>0.83</v>
      </c>
      <c r="I1341" s="2033">
        <f>'лаб-рия'!L78</f>
        <v>0.28492</v>
      </c>
      <c r="J1341" s="780">
        <f>G1341*H1341</f>
        <v>0.83</v>
      </c>
      <c r="K1341" s="781">
        <f>G1341*I1341</f>
        <v>0.28492</v>
      </c>
      <c r="L1341" s="1374">
        <f t="shared" si="154"/>
        <v>1.11492</v>
      </c>
      <c r="M1341" s="1513">
        <f t="shared" si="155"/>
        <v>0.83</v>
      </c>
      <c r="N1341" s="1515">
        <f t="shared" si="157"/>
        <v>0.28492</v>
      </c>
      <c r="O1341" s="1511">
        <f t="shared" si="158"/>
        <v>1.11492</v>
      </c>
      <c r="X1341" s="2529">
        <f>U1341*V1341</f>
        <v>0</v>
      </c>
    </row>
    <row r="1342" spans="1:24" ht="18.75">
      <c r="A1342" s="2170">
        <v>4</v>
      </c>
      <c r="B1342" s="2171"/>
      <c r="C1342" s="774" t="s">
        <v>894</v>
      </c>
      <c r="D1342" s="775"/>
      <c r="E1342" s="769"/>
      <c r="F1342" s="1530" t="s">
        <v>573</v>
      </c>
      <c r="G1342" s="777">
        <v>1</v>
      </c>
      <c r="H1342" s="2032">
        <f>M546</f>
        <v>2.99</v>
      </c>
      <c r="I1342" s="2033">
        <f>N1107</f>
        <v>0.5650000000000001</v>
      </c>
      <c r="J1342" s="780">
        <f t="shared" si="152"/>
        <v>2.99</v>
      </c>
      <c r="K1342" s="784">
        <f>G1342*I1342</f>
        <v>0.5650000000000001</v>
      </c>
      <c r="L1342" s="1374">
        <f t="shared" si="154"/>
        <v>3.555</v>
      </c>
      <c r="M1342" s="1513">
        <f t="shared" si="155"/>
        <v>2.99</v>
      </c>
      <c r="N1342" s="1515">
        <f t="shared" si="157"/>
        <v>0.5650000000000001</v>
      </c>
      <c r="O1342" s="1511">
        <f t="shared" si="158"/>
        <v>3.555</v>
      </c>
      <c r="X1342" s="2529">
        <f t="shared" si="156"/>
        <v>0</v>
      </c>
    </row>
    <row r="1343" spans="1:24" ht="18.75">
      <c r="A1343" s="2182"/>
      <c r="B1343" s="2183"/>
      <c r="C1343" s="774"/>
      <c r="D1343" s="775"/>
      <c r="E1343" s="769"/>
      <c r="F1343" s="785"/>
      <c r="G1343" s="777"/>
      <c r="H1343" s="778"/>
      <c r="I1343" s="1401"/>
      <c r="J1343" s="780"/>
      <c r="K1343" s="781"/>
      <c r="L1343" s="1312"/>
      <c r="M1343" s="1513"/>
      <c r="N1343" s="1514"/>
      <c r="O1343" s="1511"/>
      <c r="X1343" s="2529"/>
    </row>
    <row r="1344" spans="1:24" ht="18.75">
      <c r="A1344" s="2184" t="s">
        <v>895</v>
      </c>
      <c r="B1344" s="2185"/>
      <c r="C1344" s="767" t="s">
        <v>896</v>
      </c>
      <c r="D1344" s="786"/>
      <c r="E1344" s="787"/>
      <c r="F1344" s="785"/>
      <c r="G1344" s="777"/>
      <c r="H1344" s="778"/>
      <c r="I1344" s="779"/>
      <c r="J1344" s="780"/>
      <c r="K1344" s="781"/>
      <c r="L1344" s="1312"/>
      <c r="M1344" s="1513"/>
      <c r="N1344" s="1514"/>
      <c r="O1344" s="1511"/>
      <c r="X1344" s="2529"/>
    </row>
    <row r="1345" spans="1:24" ht="18.75">
      <c r="A1345" s="2170">
        <v>1</v>
      </c>
      <c r="B1345" s="2171"/>
      <c r="C1345" s="774" t="s">
        <v>897</v>
      </c>
      <c r="D1345" s="786"/>
      <c r="E1345" s="788"/>
      <c r="F1345" s="783" t="s">
        <v>898</v>
      </c>
      <c r="G1345" s="777">
        <v>2</v>
      </c>
      <c r="H1345" s="2043"/>
      <c r="I1345" s="2033">
        <f aca="true" t="shared" si="159" ref="I1345:I1350">I1421</f>
        <v>1.1655</v>
      </c>
      <c r="J1345" s="2044"/>
      <c r="K1345" s="2045">
        <f>G1345*I1345</f>
        <v>2.331</v>
      </c>
      <c r="L1345" s="2038">
        <f aca="true" t="shared" si="160" ref="L1345:L1359">J1345+K1345</f>
        <v>2.331</v>
      </c>
      <c r="M1345" s="2039"/>
      <c r="N1345" s="2040">
        <f>G1345*I1345</f>
        <v>2.331</v>
      </c>
      <c r="O1345" s="2041">
        <f aca="true" t="shared" si="161" ref="O1345:O1358">M1345+N1345</f>
        <v>2.331</v>
      </c>
      <c r="X1345" s="2529"/>
    </row>
    <row r="1346" spans="1:24" ht="18.75">
      <c r="A1346" s="2170">
        <v>2</v>
      </c>
      <c r="B1346" s="2171"/>
      <c r="C1346" s="774" t="s">
        <v>899</v>
      </c>
      <c r="D1346" s="786"/>
      <c r="E1346" s="788"/>
      <c r="F1346" s="783" t="s">
        <v>898</v>
      </c>
      <c r="G1346" s="777">
        <v>2</v>
      </c>
      <c r="H1346" s="2043"/>
      <c r="I1346" s="2033">
        <f t="shared" si="159"/>
        <v>1.11</v>
      </c>
      <c r="J1346" s="2044"/>
      <c r="K1346" s="2045">
        <f>G1346*I1346</f>
        <v>2.22</v>
      </c>
      <c r="L1346" s="2038">
        <f t="shared" si="160"/>
        <v>2.22</v>
      </c>
      <c r="M1346" s="2039"/>
      <c r="N1346" s="2040">
        <f>G1346*I1346</f>
        <v>2.22</v>
      </c>
      <c r="O1346" s="2041">
        <f t="shared" si="161"/>
        <v>2.22</v>
      </c>
      <c r="X1346" s="2529"/>
    </row>
    <row r="1347" spans="1:24" ht="18.75">
      <c r="A1347" s="2170">
        <v>3</v>
      </c>
      <c r="B1347" s="2171"/>
      <c r="C1347" s="774" t="s">
        <v>241</v>
      </c>
      <c r="D1347" s="786"/>
      <c r="E1347" s="788"/>
      <c r="F1347" s="783" t="s">
        <v>900</v>
      </c>
      <c r="G1347" s="777">
        <v>3</v>
      </c>
      <c r="H1347" s="2043"/>
      <c r="I1347" s="2033">
        <f t="shared" si="159"/>
        <v>0.237</v>
      </c>
      <c r="J1347" s="2044"/>
      <c r="K1347" s="2045">
        <f aca="true" t="shared" si="162" ref="K1347:K1359">G1347*I1347</f>
        <v>0.711</v>
      </c>
      <c r="L1347" s="2038">
        <f t="shared" si="160"/>
        <v>0.711</v>
      </c>
      <c r="M1347" s="2039"/>
      <c r="N1347" s="2040">
        <f aca="true" t="shared" si="163" ref="N1347:N1358">G1347*I1347</f>
        <v>0.711</v>
      </c>
      <c r="O1347" s="2041">
        <f t="shared" si="161"/>
        <v>0.711</v>
      </c>
      <c r="X1347" s="2529"/>
    </row>
    <row r="1348" spans="1:24" ht="18.75">
      <c r="A1348" s="2170">
        <v>5</v>
      </c>
      <c r="B1348" s="2171"/>
      <c r="C1348" s="774" t="s">
        <v>242</v>
      </c>
      <c r="D1348" s="786"/>
      <c r="E1348" s="788"/>
      <c r="F1348" s="783" t="s">
        <v>900</v>
      </c>
      <c r="G1348" s="777">
        <v>5</v>
      </c>
      <c r="H1348" s="2043"/>
      <c r="I1348" s="2033">
        <f t="shared" si="159"/>
        <v>0.245</v>
      </c>
      <c r="J1348" s="2044"/>
      <c r="K1348" s="2045">
        <f t="shared" si="162"/>
        <v>1.225</v>
      </c>
      <c r="L1348" s="2038">
        <f t="shared" si="160"/>
        <v>1.225</v>
      </c>
      <c r="M1348" s="2039"/>
      <c r="N1348" s="2040">
        <f>G1348*I1348</f>
        <v>1.225</v>
      </c>
      <c r="O1348" s="2041">
        <f t="shared" si="161"/>
        <v>1.225</v>
      </c>
      <c r="X1348" s="2529"/>
    </row>
    <row r="1349" spans="1:24" ht="18.75">
      <c r="A1349" s="2170">
        <v>6</v>
      </c>
      <c r="B1349" s="2171"/>
      <c r="C1349" s="774" t="s">
        <v>243</v>
      </c>
      <c r="D1349" s="786"/>
      <c r="E1349" s="788"/>
      <c r="F1349" s="783" t="s">
        <v>900</v>
      </c>
      <c r="G1349" s="777">
        <v>5</v>
      </c>
      <c r="H1349" s="2043"/>
      <c r="I1349" s="2033">
        <f t="shared" si="159"/>
        <v>0.27</v>
      </c>
      <c r="J1349" s="2044"/>
      <c r="K1349" s="2045">
        <f t="shared" si="162"/>
        <v>1.35</v>
      </c>
      <c r="L1349" s="2038">
        <f t="shared" si="160"/>
        <v>1.35</v>
      </c>
      <c r="M1349" s="2039"/>
      <c r="N1349" s="2040">
        <f t="shared" si="163"/>
        <v>1.35</v>
      </c>
      <c r="O1349" s="2041">
        <f t="shared" si="161"/>
        <v>1.35</v>
      </c>
      <c r="X1349" s="2529"/>
    </row>
    <row r="1350" spans="1:24" ht="18.75">
      <c r="A1350" s="745">
        <v>7</v>
      </c>
      <c r="B1350" s="733"/>
      <c r="C1350" s="774" t="s">
        <v>239</v>
      </c>
      <c r="D1350" s="786"/>
      <c r="E1350" s="788"/>
      <c r="F1350" s="783" t="s">
        <v>902</v>
      </c>
      <c r="G1350" s="777">
        <v>1</v>
      </c>
      <c r="H1350" s="2043"/>
      <c r="I1350" s="2033">
        <f t="shared" si="159"/>
        <v>0.33</v>
      </c>
      <c r="J1350" s="2044"/>
      <c r="K1350" s="2045">
        <f t="shared" si="162"/>
        <v>0.33</v>
      </c>
      <c r="L1350" s="2038">
        <f t="shared" si="160"/>
        <v>0.33</v>
      </c>
      <c r="M1350" s="2039"/>
      <c r="N1350" s="2040">
        <f t="shared" si="163"/>
        <v>0.33</v>
      </c>
      <c r="O1350" s="2041">
        <f t="shared" si="161"/>
        <v>0.33</v>
      </c>
      <c r="X1350" s="2529"/>
    </row>
    <row r="1351" spans="1:24" ht="18.75">
      <c r="A1351" s="745">
        <v>8</v>
      </c>
      <c r="B1351" s="733"/>
      <c r="C1351" s="774" t="s">
        <v>246</v>
      </c>
      <c r="D1351" s="786"/>
      <c r="E1351" s="788"/>
      <c r="F1351" s="783" t="s">
        <v>247</v>
      </c>
      <c r="G1351" s="777">
        <v>10</v>
      </c>
      <c r="H1351" s="2043"/>
      <c r="I1351" s="2033">
        <f>'[1]цены'!$D$5</f>
        <v>0.01</v>
      </c>
      <c r="J1351" s="2044"/>
      <c r="K1351" s="2045">
        <f t="shared" si="162"/>
        <v>0.1</v>
      </c>
      <c r="L1351" s="2038">
        <f t="shared" si="160"/>
        <v>0.1</v>
      </c>
      <c r="M1351" s="2039"/>
      <c r="N1351" s="2040">
        <f>G1351*I1351</f>
        <v>0.1</v>
      </c>
      <c r="O1351" s="2041">
        <f t="shared" si="161"/>
        <v>0.1</v>
      </c>
      <c r="R1351" s="2514"/>
      <c r="X1351" s="2529"/>
    </row>
    <row r="1352" spans="1:24" ht="18.75">
      <c r="A1352" s="745">
        <v>9</v>
      </c>
      <c r="B1352" s="733"/>
      <c r="C1352" s="774" t="s">
        <v>249</v>
      </c>
      <c r="D1352" s="786"/>
      <c r="E1352" s="788"/>
      <c r="F1352" s="783" t="s">
        <v>902</v>
      </c>
      <c r="G1352" s="777">
        <v>1</v>
      </c>
      <c r="H1352" s="2043"/>
      <c r="I1352" s="2033">
        <f>I1428</f>
        <v>0.21</v>
      </c>
      <c r="J1352" s="2044"/>
      <c r="K1352" s="2045">
        <f t="shared" si="162"/>
        <v>0.21</v>
      </c>
      <c r="L1352" s="2038">
        <f t="shared" si="160"/>
        <v>0.21</v>
      </c>
      <c r="M1352" s="2039"/>
      <c r="N1352" s="2040">
        <f t="shared" si="163"/>
        <v>0.21</v>
      </c>
      <c r="O1352" s="2041">
        <f t="shared" si="161"/>
        <v>0.21</v>
      </c>
      <c r="X1352" s="2529"/>
    </row>
    <row r="1353" spans="1:24" ht="18.75">
      <c r="A1353" s="745">
        <v>10</v>
      </c>
      <c r="B1353" s="733"/>
      <c r="C1353" s="774" t="s">
        <v>248</v>
      </c>
      <c r="D1353" s="786"/>
      <c r="E1353" s="788"/>
      <c r="F1353" s="783" t="s">
        <v>902</v>
      </c>
      <c r="G1353" s="777">
        <v>5</v>
      </c>
      <c r="H1353" s="2043"/>
      <c r="I1353" s="2033">
        <f>I1429</f>
        <v>0.117</v>
      </c>
      <c r="J1353" s="2044"/>
      <c r="K1353" s="2045">
        <f t="shared" si="162"/>
        <v>0.5850000000000001</v>
      </c>
      <c r="L1353" s="2038">
        <f t="shared" si="160"/>
        <v>0.5850000000000001</v>
      </c>
      <c r="M1353" s="2039"/>
      <c r="N1353" s="2040">
        <f t="shared" si="163"/>
        <v>0.5850000000000001</v>
      </c>
      <c r="O1353" s="2041">
        <f t="shared" si="161"/>
        <v>0.5850000000000001</v>
      </c>
      <c r="X1353" s="2529"/>
    </row>
    <row r="1354" spans="1:24" ht="18.75">
      <c r="A1354" s="745">
        <v>11</v>
      </c>
      <c r="B1354" s="733"/>
      <c r="C1354" s="774" t="s">
        <v>244</v>
      </c>
      <c r="D1354" s="786"/>
      <c r="E1354" s="788"/>
      <c r="F1354" s="783" t="s">
        <v>245</v>
      </c>
      <c r="G1354" s="777">
        <v>3</v>
      </c>
      <c r="H1354" s="2043"/>
      <c r="I1354" s="2033">
        <f>I1430</f>
        <v>0.77</v>
      </c>
      <c r="J1354" s="2044"/>
      <c r="K1354" s="2045">
        <f t="shared" si="162"/>
        <v>2.31</v>
      </c>
      <c r="L1354" s="2038">
        <f t="shared" si="160"/>
        <v>2.31</v>
      </c>
      <c r="M1354" s="2039"/>
      <c r="N1354" s="2040">
        <f t="shared" si="163"/>
        <v>2.31</v>
      </c>
      <c r="O1354" s="2041">
        <f t="shared" si="161"/>
        <v>2.31</v>
      </c>
      <c r="X1354" s="2529"/>
    </row>
    <row r="1355" spans="1:24" ht="18.75">
      <c r="A1355" s="745">
        <v>12</v>
      </c>
      <c r="B1355" s="733"/>
      <c r="C1355" s="774" t="s">
        <v>250</v>
      </c>
      <c r="D1355" s="786"/>
      <c r="E1355" s="788"/>
      <c r="F1355" s="783" t="s">
        <v>902</v>
      </c>
      <c r="G1355" s="777">
        <v>5</v>
      </c>
      <c r="H1355" s="2043"/>
      <c r="I1355" s="2033">
        <f>'[1]цены'!$D$6</f>
        <v>0.015</v>
      </c>
      <c r="J1355" s="2044"/>
      <c r="K1355" s="2045">
        <f t="shared" si="162"/>
        <v>0.075</v>
      </c>
      <c r="L1355" s="2038">
        <f t="shared" si="160"/>
        <v>0.075</v>
      </c>
      <c r="M1355" s="2039"/>
      <c r="N1355" s="2040">
        <f>G1355*I1355</f>
        <v>0.075</v>
      </c>
      <c r="O1355" s="2041">
        <f t="shared" si="161"/>
        <v>0.075</v>
      </c>
      <c r="X1355" s="2529"/>
    </row>
    <row r="1356" spans="1:24" ht="18.75">
      <c r="A1356" s="2170">
        <v>13</v>
      </c>
      <c r="B1356" s="2171"/>
      <c r="C1356" s="774" t="s">
        <v>901</v>
      </c>
      <c r="D1356" s="786"/>
      <c r="E1356" s="788"/>
      <c r="F1356" s="783" t="s">
        <v>902</v>
      </c>
      <c r="G1356" s="777">
        <v>1</v>
      </c>
      <c r="H1356" s="2043"/>
      <c r="I1356" s="2033">
        <f>I1432</f>
        <v>0.45</v>
      </c>
      <c r="J1356" s="2044"/>
      <c r="K1356" s="2045">
        <f t="shared" si="162"/>
        <v>0.45</v>
      </c>
      <c r="L1356" s="2038">
        <f t="shared" si="160"/>
        <v>0.45</v>
      </c>
      <c r="M1356" s="2039"/>
      <c r="N1356" s="2040">
        <f>G1356*I1356</f>
        <v>0.45</v>
      </c>
      <c r="O1356" s="2041">
        <f t="shared" si="161"/>
        <v>0.45</v>
      </c>
      <c r="X1356" s="2529"/>
    </row>
    <row r="1357" spans="1:24" ht="18.75">
      <c r="A1357" s="2170">
        <v>14</v>
      </c>
      <c r="B1357" s="2171"/>
      <c r="C1357" s="774" t="s">
        <v>903</v>
      </c>
      <c r="D1357" s="786"/>
      <c r="E1357" s="788"/>
      <c r="F1357" s="783" t="s">
        <v>900</v>
      </c>
      <c r="G1357" s="777">
        <v>2</v>
      </c>
      <c r="H1357" s="2043"/>
      <c r="I1357" s="2033">
        <f>I1433</f>
        <v>0.765</v>
      </c>
      <c r="J1357" s="2044"/>
      <c r="K1357" s="2045">
        <f t="shared" si="162"/>
        <v>1.53</v>
      </c>
      <c r="L1357" s="2038">
        <f t="shared" si="160"/>
        <v>1.53</v>
      </c>
      <c r="M1357" s="2039"/>
      <c r="N1357" s="2040">
        <f t="shared" si="163"/>
        <v>1.53</v>
      </c>
      <c r="O1357" s="2041">
        <f t="shared" si="161"/>
        <v>1.53</v>
      </c>
      <c r="X1357" s="2529"/>
    </row>
    <row r="1358" spans="1:24" ht="18.75">
      <c r="A1358" s="745">
        <v>15</v>
      </c>
      <c r="B1358" s="733"/>
      <c r="C1358" s="774" t="s">
        <v>240</v>
      </c>
      <c r="D1358" s="786"/>
      <c r="E1358" s="788"/>
      <c r="F1358" s="783" t="s">
        <v>918</v>
      </c>
      <c r="G1358" s="777">
        <v>2</v>
      </c>
      <c r="H1358" s="2043"/>
      <c r="I1358" s="2033">
        <f>I1434</f>
        <v>0.101</v>
      </c>
      <c r="J1358" s="2044"/>
      <c r="K1358" s="2045">
        <f t="shared" si="162"/>
        <v>0.202</v>
      </c>
      <c r="L1358" s="2038">
        <f t="shared" si="160"/>
        <v>0.202</v>
      </c>
      <c r="M1358" s="2039"/>
      <c r="N1358" s="2040">
        <f t="shared" si="163"/>
        <v>0.202</v>
      </c>
      <c r="O1358" s="2041">
        <f t="shared" si="161"/>
        <v>0.202</v>
      </c>
      <c r="X1358" s="2529"/>
    </row>
    <row r="1359" spans="1:24" ht="18.75">
      <c r="A1359" s="2170">
        <v>16</v>
      </c>
      <c r="B1359" s="2171"/>
      <c r="C1359" s="774" t="s">
        <v>917</v>
      </c>
      <c r="D1359" s="786"/>
      <c r="E1359" s="788"/>
      <c r="F1359" s="783" t="s">
        <v>918</v>
      </c>
      <c r="G1359" s="777">
        <v>3</v>
      </c>
      <c r="H1359" s="2043"/>
      <c r="I1359" s="2046">
        <f>I1435</f>
        <v>0.075</v>
      </c>
      <c r="J1359" s="2044"/>
      <c r="K1359" s="2045">
        <f t="shared" si="162"/>
        <v>0.22499999999999998</v>
      </c>
      <c r="L1359" s="2038">
        <f t="shared" si="160"/>
        <v>0.22499999999999998</v>
      </c>
      <c r="M1359" s="2039"/>
      <c r="N1359" s="2040">
        <f>G1359*I1359</f>
        <v>0.22499999999999998</v>
      </c>
      <c r="O1359" s="2041">
        <f>M1359+N1359</f>
        <v>0.22499999999999998</v>
      </c>
      <c r="X1359" s="2529"/>
    </row>
    <row r="1360" spans="1:24" ht="18.75">
      <c r="A1360" s="2172"/>
      <c r="B1360" s="2173"/>
      <c r="C1360" s="789"/>
      <c r="D1360" s="790" t="s">
        <v>919</v>
      </c>
      <c r="E1360" s="791"/>
      <c r="F1360" s="792"/>
      <c r="G1360" s="793"/>
      <c r="H1360" s="2047"/>
      <c r="I1360" s="2048"/>
      <c r="J1360" s="2049">
        <f aca="true" t="shared" si="164" ref="J1360:O1360">SUM(J1325:J1359)</f>
        <v>55.21000000000001</v>
      </c>
      <c r="K1360" s="2050">
        <f t="shared" si="164"/>
        <v>19.232574000000003</v>
      </c>
      <c r="L1360" s="2051">
        <f t="shared" si="164"/>
        <v>74.44257399999996</v>
      </c>
      <c r="M1360" s="2054">
        <f t="shared" si="164"/>
        <v>55.21000000000001</v>
      </c>
      <c r="N1360" s="2052">
        <f t="shared" si="164"/>
        <v>19.232574000000003</v>
      </c>
      <c r="O1360" s="2053">
        <f t="shared" si="164"/>
        <v>74.44257399999996</v>
      </c>
      <c r="Q1360" s="821"/>
      <c r="X1360" s="2529">
        <f>SUM(X1325:X1359)</f>
        <v>0</v>
      </c>
    </row>
    <row r="1361" spans="1:24" ht="16.5">
      <c r="A1361" s="2182"/>
      <c r="B1361" s="2183"/>
      <c r="C1361" s="794"/>
      <c r="D1361" s="795" t="s">
        <v>920</v>
      </c>
      <c r="E1361" s="796"/>
      <c r="F1361" s="797"/>
      <c r="G1361" s="798"/>
      <c r="H1361" s="799"/>
      <c r="I1361" s="800"/>
      <c r="J1361" s="801"/>
      <c r="K1361" s="802"/>
      <c r="L1361" s="2232">
        <f>SUM(J1362:K1362)</f>
        <v>173955.21</v>
      </c>
      <c r="M1361" s="1519"/>
      <c r="N1361" s="1520"/>
      <c r="O1361" s="2175">
        <f>SUM(M1362:N1362)</f>
        <v>74.44257400000001</v>
      </c>
      <c r="X1361" s="2557"/>
    </row>
    <row r="1362" spans="1:24" ht="16.5">
      <c r="A1362" s="2204"/>
      <c r="B1362" s="2205"/>
      <c r="C1362" s="803"/>
      <c r="D1362" s="804"/>
      <c r="E1362" s="805"/>
      <c r="F1362" s="806"/>
      <c r="G1362" s="807"/>
      <c r="H1362" s="806"/>
      <c r="I1362" s="807"/>
      <c r="J1362" s="808">
        <f>J1360</f>
        <v>55.21000000000001</v>
      </c>
      <c r="K1362" s="809">
        <v>173900</v>
      </c>
      <c r="L1362" s="2233"/>
      <c r="M1362" s="1521">
        <f>M1360</f>
        <v>55.21000000000001</v>
      </c>
      <c r="N1362" s="1522">
        <f>N1360</f>
        <v>19.232574000000003</v>
      </c>
      <c r="O1362" s="2176"/>
      <c r="X1362" s="2558">
        <f>X1360</f>
        <v>0</v>
      </c>
    </row>
    <row r="1363" spans="2:24" ht="12.75">
      <c r="B1363" s="113"/>
      <c r="C1363" s="114"/>
      <c r="D1363" s="114"/>
      <c r="E1363" s="114"/>
      <c r="F1363" s="114"/>
      <c r="G1363" s="115"/>
      <c r="H1363" s="113"/>
      <c r="I1363" s="113"/>
      <c r="J1363" s="622"/>
      <c r="K1363" s="626"/>
      <c r="L1363" s="1313"/>
      <c r="M1363" s="622"/>
      <c r="N1363" s="626"/>
      <c r="O1363" s="1313"/>
      <c r="X1363" s="2517"/>
    </row>
    <row r="1364" spans="2:24" ht="18.75" customHeight="1">
      <c r="B1364" s="113"/>
      <c r="C1364" s="114"/>
      <c r="D1364" s="114"/>
      <c r="E1364" s="114"/>
      <c r="F1364" s="114"/>
      <c r="G1364" s="115"/>
      <c r="H1364" s="113"/>
      <c r="I1364" s="113"/>
      <c r="J1364" s="622"/>
      <c r="K1364" s="626"/>
      <c r="L1364" s="114"/>
      <c r="M1364" s="622"/>
      <c r="N1364" s="626"/>
      <c r="O1364" s="114"/>
      <c r="X1364" s="2517"/>
    </row>
    <row r="1365" spans="2:24" ht="18.75" customHeight="1">
      <c r="B1365" s="113"/>
      <c r="C1365" s="114"/>
      <c r="D1365" s="114"/>
      <c r="E1365" s="114"/>
      <c r="F1365" s="114"/>
      <c r="G1365" s="115"/>
      <c r="H1365" s="113"/>
      <c r="I1365" s="113"/>
      <c r="J1365" s="622"/>
      <c r="K1365" s="626"/>
      <c r="L1365" s="114"/>
      <c r="M1365" s="622"/>
      <c r="N1365" s="626"/>
      <c r="O1365" s="114"/>
      <c r="X1365" s="2517"/>
    </row>
    <row r="1366" spans="2:24" ht="18.75" customHeight="1">
      <c r="B1366" s="113"/>
      <c r="C1366" s="1403" t="s">
        <v>487</v>
      </c>
      <c r="D1366" s="114"/>
      <c r="E1366" s="114"/>
      <c r="F1366" s="114"/>
      <c r="G1366" s="115"/>
      <c r="H1366" s="113"/>
      <c r="I1366" s="113"/>
      <c r="J1366" s="622"/>
      <c r="K1366" s="627"/>
      <c r="L1366" s="114"/>
      <c r="M1366" s="622"/>
      <c r="N1366" s="130" t="s">
        <v>10</v>
      </c>
      <c r="O1366" s="114"/>
      <c r="X1366" s="2517"/>
    </row>
    <row r="1367" spans="3:24" ht="18.75" customHeight="1">
      <c r="C1367" s="1404"/>
      <c r="D1367" s="114"/>
      <c r="E1367" s="114"/>
      <c r="F1367" s="114"/>
      <c r="G1367" s="115"/>
      <c r="H1367" s="113"/>
      <c r="I1367" s="113"/>
      <c r="J1367" s="622"/>
      <c r="M1367" s="622"/>
      <c r="X1367" s="2517"/>
    </row>
    <row r="1368" spans="2:24" ht="18.75" customHeight="1">
      <c r="B1368" s="113"/>
      <c r="C1368" s="1405" t="s">
        <v>152</v>
      </c>
      <c r="D1368" s="114"/>
      <c r="E1368" s="114"/>
      <c r="F1368" s="114"/>
      <c r="G1368" s="115"/>
      <c r="H1368" s="113"/>
      <c r="I1368" s="113"/>
      <c r="J1368" s="622"/>
      <c r="K1368" s="625"/>
      <c r="L1368" s="114"/>
      <c r="M1368" s="622"/>
      <c r="N1368" s="625" t="str">
        <f>N1215</f>
        <v>О.Н.Гаркавая</v>
      </c>
      <c r="O1368" s="114"/>
      <c r="X1368" s="2517"/>
    </row>
    <row r="1369" spans="2:24" ht="18.75" customHeight="1">
      <c r="B1369" s="113"/>
      <c r="C1369" s="1406"/>
      <c r="D1369" s="114"/>
      <c r="E1369" s="114"/>
      <c r="F1369" s="114"/>
      <c r="G1369" s="115"/>
      <c r="H1369" s="113"/>
      <c r="I1369" s="113"/>
      <c r="J1369" s="622"/>
      <c r="L1369" s="114"/>
      <c r="M1369" s="622"/>
      <c r="O1369" s="114"/>
      <c r="X1369" s="2517"/>
    </row>
    <row r="1370" spans="2:24" ht="18.75" customHeight="1">
      <c r="B1370" s="113"/>
      <c r="C1370" s="1405" t="s">
        <v>829</v>
      </c>
      <c r="D1370" s="114"/>
      <c r="E1370" s="114"/>
      <c r="F1370" s="114"/>
      <c r="G1370" s="115"/>
      <c r="H1370" s="113"/>
      <c r="I1370" s="113"/>
      <c r="J1370" s="622"/>
      <c r="K1370" s="625"/>
      <c r="L1370" s="114"/>
      <c r="M1370" s="622"/>
      <c r="N1370" s="625" t="s">
        <v>830</v>
      </c>
      <c r="O1370" s="114"/>
      <c r="X1370" s="2517"/>
    </row>
    <row r="1371" spans="2:24" ht="18.75" customHeight="1">
      <c r="B1371" s="116"/>
      <c r="C1371" s="1405"/>
      <c r="D1371" s="116"/>
      <c r="E1371" s="116"/>
      <c r="F1371" s="116"/>
      <c r="G1371" s="117"/>
      <c r="H1371" s="117"/>
      <c r="I1371" s="117"/>
      <c r="J1371" s="623"/>
      <c r="L1371" s="116"/>
      <c r="M1371" s="623"/>
      <c r="O1371" s="116"/>
      <c r="X1371" s="2512"/>
    </row>
    <row r="1372" spans="2:24" ht="18.75" customHeight="1">
      <c r="B1372" s="116"/>
      <c r="C1372" s="1405" t="s">
        <v>831</v>
      </c>
      <c r="D1372" s="116"/>
      <c r="E1372" s="116"/>
      <c r="F1372" s="116"/>
      <c r="G1372" s="117"/>
      <c r="H1372" s="117"/>
      <c r="I1372" s="117"/>
      <c r="J1372" s="623"/>
      <c r="K1372" s="625"/>
      <c r="L1372" s="116"/>
      <c r="M1372" s="623"/>
      <c r="N1372" s="625" t="s">
        <v>832</v>
      </c>
      <c r="O1372" s="116"/>
      <c r="X1372" s="2512"/>
    </row>
    <row r="1373" spans="2:24" ht="15">
      <c r="B1373" s="116"/>
      <c r="C1373" s="116"/>
      <c r="D1373" s="116"/>
      <c r="E1373" s="116"/>
      <c r="F1373" s="116"/>
      <c r="G1373" s="117"/>
      <c r="H1373" s="117"/>
      <c r="I1373" s="117"/>
      <c r="J1373" s="623"/>
      <c r="L1373" s="116"/>
      <c r="M1373" s="623"/>
      <c r="O1373" s="116"/>
      <c r="X1373" s="2512"/>
    </row>
    <row r="1374" spans="1:24" ht="15">
      <c r="A1374" s="117"/>
      <c r="B1374" s="116"/>
      <c r="C1374" s="116"/>
      <c r="D1374" s="116"/>
      <c r="E1374" s="116"/>
      <c r="F1374" s="116"/>
      <c r="G1374" s="117"/>
      <c r="H1374" s="117"/>
      <c r="I1374" s="117"/>
      <c r="J1374" s="623"/>
      <c r="K1374" s="625"/>
      <c r="L1374" s="116"/>
      <c r="M1374" s="623"/>
      <c r="N1374" s="625"/>
      <c r="O1374" s="116"/>
      <c r="X1374" s="2512"/>
    </row>
    <row r="1375" spans="1:24" ht="15">
      <c r="A1375" s="117"/>
      <c r="B1375" s="116"/>
      <c r="C1375" s="116"/>
      <c r="D1375" s="116"/>
      <c r="E1375" s="116"/>
      <c r="F1375" s="116"/>
      <c r="G1375" s="117"/>
      <c r="H1375" s="117"/>
      <c r="I1375" s="117"/>
      <c r="J1375" s="623"/>
      <c r="K1375" s="625"/>
      <c r="L1375" s="116"/>
      <c r="M1375" s="623"/>
      <c r="N1375" s="625"/>
      <c r="O1375" s="116"/>
      <c r="X1375" s="2512"/>
    </row>
    <row r="1376" spans="1:24" ht="15.75">
      <c r="A1376" s="830"/>
      <c r="B1376" s="167"/>
      <c r="C1376" s="17"/>
      <c r="D1376" s="17"/>
      <c r="E1376" s="17"/>
      <c r="F1376" s="17"/>
      <c r="G1376" s="17"/>
      <c r="H1376" s="17"/>
      <c r="I1376" s="830"/>
      <c r="J1376" s="612"/>
      <c r="K1376" s="835"/>
      <c r="L1376" s="23"/>
      <c r="M1376" s="612"/>
      <c r="N1376" s="835"/>
      <c r="O1376" s="23"/>
      <c r="X1376" s="2512"/>
    </row>
    <row r="1377" spans="1:24" ht="15.75">
      <c r="A1377" s="836"/>
      <c r="B1377" s="930"/>
      <c r="C1377" s="881"/>
      <c r="D1377" s="881"/>
      <c r="E1377" s="881"/>
      <c r="F1377" s="881"/>
      <c r="G1377" s="881"/>
      <c r="H1377" s="881"/>
      <c r="I1377" s="836"/>
      <c r="J1377" s="728"/>
      <c r="K1377" s="729"/>
      <c r="L1377" s="730"/>
      <c r="M1377" s="728" t="s">
        <v>178</v>
      </c>
      <c r="N1377" s="729"/>
      <c r="O1377" s="730"/>
      <c r="X1377" s="2511" t="s">
        <v>178</v>
      </c>
    </row>
    <row r="1378" spans="1:24" ht="15.75">
      <c r="A1378" s="836"/>
      <c r="B1378" s="930"/>
      <c r="C1378" s="881"/>
      <c r="D1378" s="881"/>
      <c r="E1378" s="881"/>
      <c r="F1378" s="881"/>
      <c r="G1378" s="881"/>
      <c r="H1378" s="881"/>
      <c r="I1378" s="836"/>
      <c r="J1378" s="728"/>
      <c r="K1378" s="729"/>
      <c r="L1378" s="730"/>
      <c r="M1378" s="728" t="str">
        <f>M1303</f>
        <v>Главный врач</v>
      </c>
      <c r="N1378" s="729"/>
      <c r="O1378" s="730"/>
      <c r="X1378" s="2511" t="str">
        <f>X1303</f>
        <v>Главный врач</v>
      </c>
    </row>
    <row r="1379" spans="1:24" ht="15.75">
      <c r="A1379" s="836"/>
      <c r="B1379" s="930"/>
      <c r="C1379" s="881"/>
      <c r="D1379" s="881"/>
      <c r="E1379" s="881"/>
      <c r="F1379" s="881"/>
      <c r="G1379" s="881"/>
      <c r="H1379" s="881"/>
      <c r="I1379" s="836"/>
      <c r="J1379" s="728"/>
      <c r="K1379" s="729"/>
      <c r="L1379" s="730"/>
      <c r="M1379" s="728" t="str">
        <f>M1304</f>
        <v>Слонимской ЦРБ</v>
      </c>
      <c r="N1379" s="729"/>
      <c r="O1379" s="730"/>
      <c r="X1379" s="2511" t="str">
        <f>X1304</f>
        <v>Слонимской ЦРБ</v>
      </c>
    </row>
    <row r="1380" spans="1:24" ht="15.75">
      <c r="A1380" s="836"/>
      <c r="B1380" s="930"/>
      <c r="C1380" s="881"/>
      <c r="D1380" s="881"/>
      <c r="E1380" s="881"/>
      <c r="F1380" s="881"/>
      <c r="G1380" s="881"/>
      <c r="H1380" s="881"/>
      <c r="I1380" s="836"/>
      <c r="J1380" s="731"/>
      <c r="K1380" s="729"/>
      <c r="L1380" s="1028"/>
      <c r="M1380" s="731"/>
      <c r="N1380" s="729"/>
      <c r="O1380" s="1028" t="str">
        <f>O1305</f>
        <v>Г.М.Моисеенкова</v>
      </c>
      <c r="X1380" s="2512"/>
    </row>
    <row r="1381" spans="1:24" ht="15.75">
      <c r="A1381" s="836"/>
      <c r="B1381" s="930"/>
      <c r="C1381" s="881"/>
      <c r="D1381" s="881"/>
      <c r="E1381" s="881"/>
      <c r="F1381" s="881"/>
      <c r="G1381" s="881"/>
      <c r="H1381" s="881"/>
      <c r="I1381" s="836"/>
      <c r="J1381" s="1523"/>
      <c r="K1381" s="1524"/>
      <c r="L1381" s="1524"/>
      <c r="M1381" s="1192">
        <f>M7</f>
        <v>1</v>
      </c>
      <c r="N1381" s="1027" t="str">
        <f>N7</f>
        <v>июля</v>
      </c>
      <c r="O1381" s="1027" t="str">
        <f>O7</f>
        <v>2017 г.</v>
      </c>
      <c r="X1381" s="2559" t="str">
        <f>X1306</f>
        <v>    29       сентября            2015г.</v>
      </c>
    </row>
    <row r="1382" spans="1:24" ht="15.75">
      <c r="A1382" s="836"/>
      <c r="B1382" s="930"/>
      <c r="C1382" s="881"/>
      <c r="D1382" s="881"/>
      <c r="E1382" s="881"/>
      <c r="F1382" s="881"/>
      <c r="G1382" s="881"/>
      <c r="H1382" s="881"/>
      <c r="I1382" s="836"/>
      <c r="J1382" s="731"/>
      <c r="K1382" s="734"/>
      <c r="L1382" s="732"/>
      <c r="M1382" s="731"/>
      <c r="N1382" s="734"/>
      <c r="O1382" s="732"/>
      <c r="X1382" s="2512"/>
    </row>
    <row r="1383" spans="1:24" ht="15.75">
      <c r="A1383" s="836"/>
      <c r="B1383" s="930"/>
      <c r="C1383" s="881"/>
      <c r="D1383" s="881"/>
      <c r="E1383" s="881"/>
      <c r="F1383" s="881"/>
      <c r="G1383" s="881"/>
      <c r="H1383" s="881"/>
      <c r="I1383" s="836"/>
      <c r="J1383" s="731"/>
      <c r="K1383" s="734"/>
      <c r="L1383" s="732"/>
      <c r="M1383" s="731"/>
      <c r="N1383" s="734"/>
      <c r="O1383" s="732"/>
      <c r="X1383" s="2512"/>
    </row>
    <row r="1384" spans="1:24" ht="20.25">
      <c r="A1384" s="2177" t="s">
        <v>439</v>
      </c>
      <c r="B1384" s="2177"/>
      <c r="C1384" s="2177"/>
      <c r="D1384" s="2177"/>
      <c r="E1384" s="2177"/>
      <c r="F1384" s="2177"/>
      <c r="G1384" s="2177"/>
      <c r="H1384" s="2177"/>
      <c r="I1384" s="2177"/>
      <c r="J1384" s="2177"/>
      <c r="K1384" s="2177"/>
      <c r="L1384" s="2177"/>
      <c r="M1384" s="2177"/>
      <c r="N1384" s="2177"/>
      <c r="O1384" s="2177"/>
      <c r="X1384" s="2509"/>
    </row>
    <row r="1385" spans="1:24" ht="18">
      <c r="A1385" s="2174" t="s">
        <v>833</v>
      </c>
      <c r="B1385" s="2174"/>
      <c r="C1385" s="2174"/>
      <c r="D1385" s="2174"/>
      <c r="E1385" s="2174"/>
      <c r="F1385" s="2174"/>
      <c r="G1385" s="2174"/>
      <c r="H1385" s="2174"/>
      <c r="I1385" s="2174"/>
      <c r="J1385" s="2174"/>
      <c r="K1385" s="2174"/>
      <c r="L1385" s="2174"/>
      <c r="M1385" s="2174"/>
      <c r="N1385" s="2174"/>
      <c r="O1385" s="2174"/>
      <c r="X1385" s="2509"/>
    </row>
    <row r="1386" spans="1:24" ht="18.75">
      <c r="A1386" s="2191" t="s">
        <v>328</v>
      </c>
      <c r="B1386" s="2191"/>
      <c r="C1386" s="2191"/>
      <c r="D1386" s="2191"/>
      <c r="E1386" s="2191"/>
      <c r="F1386" s="2191"/>
      <c r="G1386" s="2191"/>
      <c r="H1386" s="2191"/>
      <c r="I1386" s="2191"/>
      <c r="J1386" s="2191"/>
      <c r="K1386" s="2191"/>
      <c r="L1386" s="2191"/>
      <c r="M1386" s="2191"/>
      <c r="N1386" s="2191"/>
      <c r="O1386" s="2191"/>
      <c r="X1386" s="2509"/>
    </row>
    <row r="1387" spans="1:24" ht="18.75">
      <c r="A1387" s="2191" t="s">
        <v>835</v>
      </c>
      <c r="B1387" s="2191"/>
      <c r="C1387" s="2191"/>
      <c r="D1387" s="2191"/>
      <c r="E1387" s="2191"/>
      <c r="F1387" s="2191"/>
      <c r="G1387" s="2191"/>
      <c r="H1387" s="2191"/>
      <c r="I1387" s="2191"/>
      <c r="J1387" s="2191"/>
      <c r="K1387" s="2191"/>
      <c r="L1387" s="2191"/>
      <c r="M1387" s="2191"/>
      <c r="N1387" s="2191"/>
      <c r="O1387" s="2191"/>
      <c r="X1387" s="2509"/>
    </row>
    <row r="1388" spans="1:24" ht="15.75">
      <c r="A1388" s="2231"/>
      <c r="B1388" s="2231"/>
      <c r="C1388" s="2231"/>
      <c r="D1388" s="2231"/>
      <c r="E1388" s="2231"/>
      <c r="F1388" s="2231"/>
      <c r="G1388" s="2231"/>
      <c r="H1388" s="2231"/>
      <c r="I1388" s="2231"/>
      <c r="J1388" s="2231"/>
      <c r="K1388" s="2231"/>
      <c r="L1388" s="2231"/>
      <c r="M1388" s="5"/>
      <c r="N1388" s="5"/>
      <c r="X1388" s="2509"/>
    </row>
    <row r="1389" spans="1:24" ht="15.75">
      <c r="A1389" s="885"/>
      <c r="B1389" s="931"/>
      <c r="C1389" s="882" t="s">
        <v>332</v>
      </c>
      <c r="D1389" s="883" t="str">
        <f>D1313</f>
        <v>01.07.2017г.</v>
      </c>
      <c r="E1389" s="884"/>
      <c r="F1389" s="884"/>
      <c r="G1389" s="884"/>
      <c r="H1389" s="884"/>
      <c r="I1389" s="885"/>
      <c r="J1389" s="886"/>
      <c r="K1389" s="887"/>
      <c r="L1389" s="884"/>
      <c r="M1389" s="886"/>
      <c r="N1389" s="887"/>
      <c r="O1389" s="884"/>
      <c r="X1389" s="2530"/>
    </row>
    <row r="1390" spans="1:24" ht="15.75" customHeight="1">
      <c r="A1390" s="1411"/>
      <c r="B1390" s="1412"/>
      <c r="C1390" s="1419"/>
      <c r="D1390" s="1413"/>
      <c r="E1390" s="1420"/>
      <c r="F1390" s="1412"/>
      <c r="G1390" s="1425" t="s">
        <v>837</v>
      </c>
      <c r="H1390" s="1412"/>
      <c r="I1390" s="1414"/>
      <c r="J1390" s="2196" t="s">
        <v>485</v>
      </c>
      <c r="K1390" s="2196"/>
      <c r="L1390" s="2196"/>
      <c r="M1390" s="2190" t="s">
        <v>486</v>
      </c>
      <c r="N1390" s="2190"/>
      <c r="O1390" s="2190"/>
      <c r="X1390" s="2528"/>
    </row>
    <row r="1391" spans="1:24" ht="15.75" customHeight="1">
      <c r="A1391" s="1415"/>
      <c r="B1391" s="735"/>
      <c r="C1391" s="1421"/>
      <c r="D1391" s="1410"/>
      <c r="E1391" s="1422"/>
      <c r="F1391" s="735"/>
      <c r="G1391" s="1426" t="s">
        <v>840</v>
      </c>
      <c r="H1391" s="735"/>
      <c r="I1391" s="1416"/>
      <c r="J1391" s="2196"/>
      <c r="K1391" s="2196"/>
      <c r="L1391" s="2196"/>
      <c r="M1391" s="2190"/>
      <c r="N1391" s="2190"/>
      <c r="O1391" s="2190"/>
      <c r="X1391" s="2528"/>
    </row>
    <row r="1392" spans="1:24" ht="15">
      <c r="A1392" s="2192" t="s">
        <v>836</v>
      </c>
      <c r="B1392" s="2193"/>
      <c r="C1392" s="741"/>
      <c r="D1392" s="727"/>
      <c r="E1392" s="1417"/>
      <c r="F1392" s="727"/>
      <c r="G1392" s="1426" t="s">
        <v>845</v>
      </c>
      <c r="H1392" s="743" t="s">
        <v>838</v>
      </c>
      <c r="I1392" s="751"/>
      <c r="J1392" s="2186" t="s">
        <v>489</v>
      </c>
      <c r="K1392" s="2187"/>
      <c r="L1392" s="1438"/>
      <c r="M1392" s="2186" t="s">
        <v>489</v>
      </c>
      <c r="N1392" s="2187"/>
      <c r="O1392" s="1438"/>
      <c r="X1392" s="2553" t="s">
        <v>839</v>
      </c>
    </row>
    <row r="1393" spans="1:24" ht="15">
      <c r="A1393" s="2192"/>
      <c r="B1393" s="2193"/>
      <c r="C1393" s="741"/>
      <c r="D1393" s="742"/>
      <c r="E1393" s="1417"/>
      <c r="F1393" s="749"/>
      <c r="G1393" s="1426" t="s">
        <v>850</v>
      </c>
      <c r="H1393" s="1423"/>
      <c r="I1393" s="744"/>
      <c r="J1393" s="2188" t="s">
        <v>488</v>
      </c>
      <c r="K1393" s="2189"/>
      <c r="L1393" s="1438" t="s">
        <v>842</v>
      </c>
      <c r="M1393" s="2188" t="s">
        <v>488</v>
      </c>
      <c r="N1393" s="2189"/>
      <c r="O1393" s="1438" t="s">
        <v>842</v>
      </c>
      <c r="X1393" s="2553" t="s">
        <v>841</v>
      </c>
    </row>
    <row r="1394" spans="1:24" ht="15">
      <c r="A1394" s="2192"/>
      <c r="B1394" s="2193"/>
      <c r="C1394" s="741"/>
      <c r="D1394" s="749" t="s">
        <v>843</v>
      </c>
      <c r="E1394" s="1417"/>
      <c r="F1394" s="743" t="s">
        <v>844</v>
      </c>
      <c r="G1394" s="1426" t="s">
        <v>847</v>
      </c>
      <c r="H1394" s="1427" t="s">
        <v>846</v>
      </c>
      <c r="I1394" s="1425" t="s">
        <v>847</v>
      </c>
      <c r="J1394" s="1428"/>
      <c r="K1394" s="1429"/>
      <c r="L1394" s="1430" t="s">
        <v>449</v>
      </c>
      <c r="M1394" s="1428"/>
      <c r="N1394" s="1429"/>
      <c r="O1394" s="1430" t="s">
        <v>449</v>
      </c>
      <c r="X1394" s="2554"/>
    </row>
    <row r="1395" spans="1:24" ht="15">
      <c r="A1395" s="2192"/>
      <c r="B1395" s="2193"/>
      <c r="C1395" s="741"/>
      <c r="D1395" s="749" t="s">
        <v>848</v>
      </c>
      <c r="E1395" s="1417"/>
      <c r="F1395" s="743" t="s">
        <v>849</v>
      </c>
      <c r="G1395" s="1426" t="s">
        <v>852</v>
      </c>
      <c r="H1395" s="1427" t="s">
        <v>851</v>
      </c>
      <c r="I1395" s="1426" t="s">
        <v>852</v>
      </c>
      <c r="J1395" s="1428"/>
      <c r="K1395" s="1429"/>
      <c r="L1395" s="1430" t="s">
        <v>853</v>
      </c>
      <c r="M1395" s="1428"/>
      <c r="N1395" s="1429"/>
      <c r="O1395" s="1430" t="s">
        <v>853</v>
      </c>
      <c r="X1395" s="2554"/>
    </row>
    <row r="1396" spans="1:24" ht="15">
      <c r="A1396" s="2192"/>
      <c r="B1396" s="2193"/>
      <c r="C1396" s="741"/>
      <c r="D1396" s="727"/>
      <c r="E1396" s="1417"/>
      <c r="F1396" s="727"/>
      <c r="G1396" s="1426" t="s">
        <v>854</v>
      </c>
      <c r="H1396" s="1427" t="s">
        <v>845</v>
      </c>
      <c r="I1396" s="1426" t="s">
        <v>854</v>
      </c>
      <c r="J1396" s="1428" t="s">
        <v>855</v>
      </c>
      <c r="K1396" s="1429" t="s">
        <v>856</v>
      </c>
      <c r="L1396" s="1430"/>
      <c r="M1396" s="1428" t="s">
        <v>855</v>
      </c>
      <c r="N1396" s="1429" t="s">
        <v>856</v>
      </c>
      <c r="O1396" s="1430"/>
      <c r="X1396" s="2554" t="s">
        <v>855</v>
      </c>
    </row>
    <row r="1397" spans="1:24" ht="15">
      <c r="A1397" s="2192"/>
      <c r="B1397" s="2193"/>
      <c r="C1397" s="741"/>
      <c r="D1397" s="727"/>
      <c r="E1397" s="1417"/>
      <c r="F1397" s="727"/>
      <c r="G1397" s="1426" t="s">
        <v>859</v>
      </c>
      <c r="H1397" s="1427" t="s">
        <v>858</v>
      </c>
      <c r="I1397" s="1426" t="s">
        <v>859</v>
      </c>
      <c r="J1397" s="1428"/>
      <c r="K1397" s="1429" t="s">
        <v>860</v>
      </c>
      <c r="L1397" s="1430"/>
      <c r="M1397" s="1428"/>
      <c r="N1397" s="1429" t="s">
        <v>860</v>
      </c>
      <c r="O1397" s="1430"/>
      <c r="X1397" s="2554"/>
    </row>
    <row r="1398" spans="1:24" ht="15">
      <c r="A1398" s="2192"/>
      <c r="B1398" s="2193"/>
      <c r="C1398" s="741"/>
      <c r="D1398" s="727"/>
      <c r="E1398" s="1417"/>
      <c r="F1398" s="727"/>
      <c r="G1398" s="1426" t="s">
        <v>860</v>
      </c>
      <c r="H1398" s="1427"/>
      <c r="I1398" s="1426" t="s">
        <v>860</v>
      </c>
      <c r="J1398" s="1431"/>
      <c r="K1398" s="1432"/>
      <c r="L1398" s="1430"/>
      <c r="M1398" s="1431"/>
      <c r="N1398" s="1432"/>
      <c r="O1398" s="1430"/>
      <c r="X1398" s="2555"/>
    </row>
    <row r="1399" spans="1:24" ht="15">
      <c r="A1399" s="2194"/>
      <c r="B1399" s="2195"/>
      <c r="C1399" s="760"/>
      <c r="D1399" s="761"/>
      <c r="E1399" s="1418"/>
      <c r="F1399" s="761"/>
      <c r="G1399" s="1424"/>
      <c r="H1399" s="1433" t="s">
        <v>457</v>
      </c>
      <c r="I1399" s="1434" t="s">
        <v>457</v>
      </c>
      <c r="J1399" s="1435" t="s">
        <v>457</v>
      </c>
      <c r="K1399" s="1436" t="s">
        <v>457</v>
      </c>
      <c r="L1399" s="1437" t="s">
        <v>457</v>
      </c>
      <c r="M1399" s="1435" t="s">
        <v>457</v>
      </c>
      <c r="N1399" s="1436" t="s">
        <v>457</v>
      </c>
      <c r="O1399" s="1437" t="s">
        <v>457</v>
      </c>
      <c r="X1399" s="2556" t="s">
        <v>457</v>
      </c>
    </row>
    <row r="1400" spans="1:24" ht="16.5">
      <c r="A1400" s="2208" t="s">
        <v>862</v>
      </c>
      <c r="B1400" s="2208"/>
      <c r="C1400" s="767" t="s">
        <v>863</v>
      </c>
      <c r="D1400" s="898"/>
      <c r="E1400" s="899"/>
      <c r="F1400" s="896"/>
      <c r="G1400" s="836"/>
      <c r="H1400" s="900"/>
      <c r="I1400" s="894"/>
      <c r="J1400" s="731"/>
      <c r="K1400" s="897"/>
      <c r="L1400" s="895"/>
      <c r="M1400" s="731"/>
      <c r="N1400" s="1439"/>
      <c r="O1400" s="895"/>
      <c r="X1400" s="2512"/>
    </row>
    <row r="1401" spans="1:24" ht="18.75">
      <c r="A1401" s="2209">
        <v>1</v>
      </c>
      <c r="B1401" s="2210"/>
      <c r="C1401" s="774" t="s">
        <v>331</v>
      </c>
      <c r="D1401" s="881"/>
      <c r="E1401" s="899"/>
      <c r="F1401" s="1528" t="s">
        <v>773</v>
      </c>
      <c r="G1401" s="836">
        <v>2</v>
      </c>
      <c r="H1401" s="900">
        <f>H1325</f>
        <v>6.62</v>
      </c>
      <c r="I1401" s="893"/>
      <c r="J1401" s="731">
        <f>G1401*H1401</f>
        <v>13.24</v>
      </c>
      <c r="K1401" s="897"/>
      <c r="L1401" s="1374">
        <f>J1401+K1401</f>
        <v>13.24</v>
      </c>
      <c r="M1401" s="1513">
        <f>J1401</f>
        <v>13.24</v>
      </c>
      <c r="N1401" s="1514"/>
      <c r="O1401" s="1511">
        <f>M1401+N1401</f>
        <v>13.24</v>
      </c>
      <c r="X1401" s="2512">
        <f>U1401*V1401</f>
        <v>0</v>
      </c>
    </row>
    <row r="1402" spans="1:24" ht="18.75">
      <c r="A1402" s="2198"/>
      <c r="B1402" s="2199"/>
      <c r="C1402" s="782" t="s">
        <v>237</v>
      </c>
      <c r="D1402" s="881"/>
      <c r="E1402" s="899"/>
      <c r="F1402" s="1528"/>
      <c r="G1402" s="836"/>
      <c r="H1402" s="900"/>
      <c r="I1402" s="893"/>
      <c r="J1402" s="731"/>
      <c r="K1402" s="897"/>
      <c r="L1402" s="1374"/>
      <c r="M1402" s="1513"/>
      <c r="N1402" s="1514"/>
      <c r="O1402" s="1511"/>
      <c r="X1402" s="2512"/>
    </row>
    <row r="1403" spans="1:24" ht="18.75">
      <c r="A1403" s="2198">
        <v>2</v>
      </c>
      <c r="B1403" s="2199"/>
      <c r="C1403" s="774" t="s">
        <v>864</v>
      </c>
      <c r="D1403" s="881"/>
      <c r="E1403" s="899"/>
      <c r="F1403" s="1528" t="s">
        <v>773</v>
      </c>
      <c r="G1403" s="836">
        <v>3</v>
      </c>
      <c r="H1403" s="900">
        <f>H1327</f>
        <v>7.73</v>
      </c>
      <c r="I1403" s="893"/>
      <c r="J1403" s="731">
        <f>G1403*H1403</f>
        <v>23.19</v>
      </c>
      <c r="K1403" s="897"/>
      <c r="L1403" s="1374">
        <f>J1403+K1403</f>
        <v>23.19</v>
      </c>
      <c r="M1403" s="1513">
        <f>J1403</f>
        <v>23.19</v>
      </c>
      <c r="N1403" s="1514"/>
      <c r="O1403" s="1511">
        <f>M1403+N1403</f>
        <v>23.19</v>
      </c>
      <c r="X1403" s="2512">
        <f>U1403*V1403</f>
        <v>0</v>
      </c>
    </row>
    <row r="1404" spans="1:24" ht="18.75">
      <c r="A1404" s="2198"/>
      <c r="B1404" s="2199"/>
      <c r="C1404" s="774" t="s">
        <v>865</v>
      </c>
      <c r="D1404" s="881"/>
      <c r="E1404" s="899"/>
      <c r="F1404" s="1528"/>
      <c r="G1404" s="836"/>
      <c r="H1404" s="900"/>
      <c r="I1404" s="893"/>
      <c r="J1404" s="731"/>
      <c r="K1404" s="897"/>
      <c r="L1404" s="1374"/>
      <c r="M1404" s="1513"/>
      <c r="N1404" s="1514"/>
      <c r="O1404" s="1511"/>
      <c r="X1404" s="2512"/>
    </row>
    <row r="1405" spans="1:24" ht="18.75">
      <c r="A1405" s="2206">
        <v>3</v>
      </c>
      <c r="B1405" s="2207"/>
      <c r="C1405" s="774" t="s">
        <v>866</v>
      </c>
      <c r="D1405" s="881"/>
      <c r="E1405" s="899"/>
      <c r="F1405" s="1528"/>
      <c r="G1405" s="836"/>
      <c r="H1405" s="900"/>
      <c r="I1405" s="893"/>
      <c r="J1405" s="731"/>
      <c r="K1405" s="897"/>
      <c r="L1405" s="1374"/>
      <c r="M1405" s="1513"/>
      <c r="N1405" s="1514"/>
      <c r="O1405" s="1511"/>
      <c r="X1405" s="2512"/>
    </row>
    <row r="1406" spans="1:24" ht="18.75">
      <c r="A1406" s="2211" t="s">
        <v>867</v>
      </c>
      <c r="B1406" s="2212"/>
      <c r="C1406" s="774" t="s">
        <v>868</v>
      </c>
      <c r="D1406" s="881"/>
      <c r="E1406" s="899"/>
      <c r="F1406" s="1528" t="s">
        <v>869</v>
      </c>
      <c r="G1406" s="836">
        <v>1</v>
      </c>
      <c r="H1406" s="900">
        <f>H1330</f>
        <v>0.47</v>
      </c>
      <c r="I1406" s="893"/>
      <c r="J1406" s="731">
        <f>G1406*H1406</f>
        <v>0.47</v>
      </c>
      <c r="K1406" s="897"/>
      <c r="L1406" s="1374">
        <f>J1406+K1406</f>
        <v>0.47</v>
      </c>
      <c r="M1406" s="1513">
        <f>J1406</f>
        <v>0.47</v>
      </c>
      <c r="N1406" s="1514"/>
      <c r="O1406" s="1511">
        <f>M1406+N1406</f>
        <v>0.47</v>
      </c>
      <c r="X1406" s="2512">
        <f>U1406*V1406</f>
        <v>0</v>
      </c>
    </row>
    <row r="1407" spans="1:24" ht="18.75">
      <c r="A1407" s="2211"/>
      <c r="B1407" s="2212"/>
      <c r="C1407" s="774" t="s">
        <v>870</v>
      </c>
      <c r="D1407" s="881"/>
      <c r="E1407" s="899"/>
      <c r="F1407" s="1528"/>
      <c r="G1407" s="836"/>
      <c r="H1407" s="900"/>
      <c r="I1407" s="893"/>
      <c r="J1407" s="731"/>
      <c r="K1407" s="897"/>
      <c r="L1407" s="1374"/>
      <c r="M1407" s="1513"/>
      <c r="N1407" s="1514"/>
      <c r="O1407" s="1511"/>
      <c r="X1407" s="2512"/>
    </row>
    <row r="1408" spans="1:24" ht="18.75">
      <c r="A1408" s="2206" t="s">
        <v>871</v>
      </c>
      <c r="B1408" s="2207"/>
      <c r="C1408" s="774" t="s">
        <v>872</v>
      </c>
      <c r="D1408" s="881"/>
      <c r="E1408" s="899"/>
      <c r="F1408" s="1529" t="s">
        <v>873</v>
      </c>
      <c r="G1408" s="836">
        <v>1</v>
      </c>
      <c r="H1408" s="900">
        <f aca="true" t="shared" si="165" ref="H1408:I1418">H1332</f>
        <v>0.42</v>
      </c>
      <c r="I1408" s="901">
        <f t="shared" si="165"/>
        <v>0.0954</v>
      </c>
      <c r="J1408" s="731">
        <f aca="true" t="shared" si="166" ref="J1408:J1418">G1408*H1408</f>
        <v>0.42</v>
      </c>
      <c r="K1408" s="897">
        <f aca="true" t="shared" si="167" ref="K1408:K1416">G1408*I1408</f>
        <v>0.0954</v>
      </c>
      <c r="L1408" s="1374">
        <f>J1408+K1408</f>
        <v>0.5154</v>
      </c>
      <c r="M1408" s="1513">
        <f aca="true" t="shared" si="168" ref="M1408:M1418">J1408</f>
        <v>0.42</v>
      </c>
      <c r="N1408" s="1515">
        <f aca="true" t="shared" si="169" ref="N1408:N1418">K1408</f>
        <v>0.0954</v>
      </c>
      <c r="O1408" s="1511">
        <f>M1408+N1408</f>
        <v>0.5154</v>
      </c>
      <c r="X1408" s="2512">
        <f aca="true" t="shared" si="170" ref="X1408:X1418">U1408*V1408</f>
        <v>0</v>
      </c>
    </row>
    <row r="1409" spans="1:24" ht="18.75">
      <c r="A1409" s="2206" t="s">
        <v>874</v>
      </c>
      <c r="B1409" s="2207"/>
      <c r="C1409" s="774" t="s">
        <v>875</v>
      </c>
      <c r="D1409" s="881"/>
      <c r="E1409" s="899"/>
      <c r="F1409" s="934" t="s">
        <v>873</v>
      </c>
      <c r="G1409" s="836">
        <v>1</v>
      </c>
      <c r="H1409" s="900">
        <f t="shared" si="165"/>
        <v>0.52</v>
      </c>
      <c r="I1409" s="901">
        <f t="shared" si="165"/>
        <v>0.5331999999999999</v>
      </c>
      <c r="J1409" s="731">
        <f t="shared" si="166"/>
        <v>0.52</v>
      </c>
      <c r="K1409" s="897">
        <f t="shared" si="167"/>
        <v>0.5331999999999999</v>
      </c>
      <c r="L1409" s="1374">
        <f aca="true" t="shared" si="171" ref="L1409:L1418">J1409+K1409</f>
        <v>1.0532</v>
      </c>
      <c r="M1409" s="1513">
        <f t="shared" si="168"/>
        <v>0.52</v>
      </c>
      <c r="N1409" s="1515">
        <f t="shared" si="169"/>
        <v>0.5331999999999999</v>
      </c>
      <c r="O1409" s="1511">
        <f aca="true" t="shared" si="172" ref="O1409:O1418">M1409+N1409</f>
        <v>1.0532</v>
      </c>
      <c r="X1409" s="2512">
        <f t="shared" si="170"/>
        <v>0</v>
      </c>
    </row>
    <row r="1410" spans="1:24" ht="18.75">
      <c r="A1410" s="2206" t="s">
        <v>876</v>
      </c>
      <c r="B1410" s="2207"/>
      <c r="C1410" s="774" t="s">
        <v>877</v>
      </c>
      <c r="D1410" s="881"/>
      <c r="E1410" s="899"/>
      <c r="F1410" s="934" t="s">
        <v>873</v>
      </c>
      <c r="G1410" s="836">
        <v>1</v>
      </c>
      <c r="H1410" s="900">
        <f t="shared" si="165"/>
        <v>0.31</v>
      </c>
      <c r="I1410" s="901">
        <f t="shared" si="165"/>
        <v>0.0826</v>
      </c>
      <c r="J1410" s="731">
        <f t="shared" si="166"/>
        <v>0.31</v>
      </c>
      <c r="K1410" s="897">
        <f t="shared" si="167"/>
        <v>0.0826</v>
      </c>
      <c r="L1410" s="1374">
        <f t="shared" si="171"/>
        <v>0.3926</v>
      </c>
      <c r="M1410" s="1513">
        <f t="shared" si="168"/>
        <v>0.31</v>
      </c>
      <c r="N1410" s="1515">
        <f t="shared" si="169"/>
        <v>0.0826</v>
      </c>
      <c r="O1410" s="1511">
        <f t="shared" si="172"/>
        <v>0.3926</v>
      </c>
      <c r="X1410" s="2512">
        <f t="shared" si="170"/>
        <v>0</v>
      </c>
    </row>
    <row r="1411" spans="1:24" ht="18.75">
      <c r="A1411" s="2206" t="s">
        <v>878</v>
      </c>
      <c r="B1411" s="2207"/>
      <c r="C1411" s="774" t="s">
        <v>879</v>
      </c>
      <c r="D1411" s="881"/>
      <c r="E1411" s="899"/>
      <c r="F1411" s="1528" t="s">
        <v>573</v>
      </c>
      <c r="G1411" s="836">
        <v>1</v>
      </c>
      <c r="H1411" s="900">
        <f t="shared" si="165"/>
        <v>6.880000000000001</v>
      </c>
      <c r="I1411" s="901">
        <f t="shared" si="165"/>
        <v>1.31279</v>
      </c>
      <c r="J1411" s="731">
        <f t="shared" si="166"/>
        <v>6.880000000000001</v>
      </c>
      <c r="K1411" s="897">
        <f t="shared" si="167"/>
        <v>1.31279</v>
      </c>
      <c r="L1411" s="1374">
        <f t="shared" si="171"/>
        <v>8.19279</v>
      </c>
      <c r="M1411" s="1513">
        <f t="shared" si="168"/>
        <v>6.880000000000001</v>
      </c>
      <c r="N1411" s="1515">
        <f t="shared" si="169"/>
        <v>1.31279</v>
      </c>
      <c r="O1411" s="1511">
        <f t="shared" si="172"/>
        <v>8.19279</v>
      </c>
      <c r="X1411" s="2512">
        <f t="shared" si="170"/>
        <v>0</v>
      </c>
    </row>
    <row r="1412" spans="1:24" ht="18.75">
      <c r="A1412" s="2206" t="s">
        <v>880</v>
      </c>
      <c r="B1412" s="2207"/>
      <c r="C1412" s="774" t="s">
        <v>881</v>
      </c>
      <c r="D1412" s="881"/>
      <c r="E1412" s="899"/>
      <c r="F1412" s="1528" t="s">
        <v>573</v>
      </c>
      <c r="G1412" s="836">
        <v>1</v>
      </c>
      <c r="H1412" s="900">
        <f t="shared" si="165"/>
        <v>2.5</v>
      </c>
      <c r="I1412" s="901">
        <f t="shared" si="165"/>
        <v>0.49523399999999995</v>
      </c>
      <c r="J1412" s="731">
        <f t="shared" si="166"/>
        <v>2.5</v>
      </c>
      <c r="K1412" s="897">
        <f t="shared" si="167"/>
        <v>0.49523399999999995</v>
      </c>
      <c r="L1412" s="1374">
        <f t="shared" si="171"/>
        <v>2.995234</v>
      </c>
      <c r="M1412" s="1513">
        <f t="shared" si="168"/>
        <v>2.5</v>
      </c>
      <c r="N1412" s="1515">
        <f t="shared" si="169"/>
        <v>0.49523399999999995</v>
      </c>
      <c r="O1412" s="1511">
        <f>M1412+N1412</f>
        <v>2.995234</v>
      </c>
      <c r="X1412" s="2512">
        <f t="shared" si="170"/>
        <v>0</v>
      </c>
    </row>
    <row r="1413" spans="1:24" ht="18.75">
      <c r="A1413" s="2206" t="s">
        <v>882</v>
      </c>
      <c r="B1413" s="2207"/>
      <c r="C1413" s="774" t="s">
        <v>883</v>
      </c>
      <c r="D1413" s="881"/>
      <c r="E1413" s="899"/>
      <c r="F1413" s="1528" t="s">
        <v>573</v>
      </c>
      <c r="G1413" s="836">
        <v>1</v>
      </c>
      <c r="H1413" s="900">
        <f t="shared" si="165"/>
        <v>1.58</v>
      </c>
      <c r="I1413" s="901">
        <f t="shared" si="165"/>
        <v>1.01074</v>
      </c>
      <c r="J1413" s="731">
        <f t="shared" si="166"/>
        <v>1.58</v>
      </c>
      <c r="K1413" s="897">
        <f t="shared" si="167"/>
        <v>1.01074</v>
      </c>
      <c r="L1413" s="1374">
        <f t="shared" si="171"/>
        <v>2.5907400000000003</v>
      </c>
      <c r="M1413" s="1513">
        <f t="shared" si="168"/>
        <v>1.58</v>
      </c>
      <c r="N1413" s="1515">
        <f t="shared" si="169"/>
        <v>1.01074</v>
      </c>
      <c r="O1413" s="1511">
        <f>M1413+N1413</f>
        <v>2.5907400000000003</v>
      </c>
      <c r="X1413" s="2512">
        <f t="shared" si="170"/>
        <v>0</v>
      </c>
    </row>
    <row r="1414" spans="1:24" ht="18.75">
      <c r="A1414" s="2206" t="s">
        <v>886</v>
      </c>
      <c r="B1414" s="2207"/>
      <c r="C1414" s="774" t="s">
        <v>887</v>
      </c>
      <c r="D1414" s="881"/>
      <c r="E1414" s="899"/>
      <c r="F1414" s="1528" t="s">
        <v>573</v>
      </c>
      <c r="G1414" s="836">
        <v>1</v>
      </c>
      <c r="H1414" s="900">
        <f t="shared" si="165"/>
        <v>0.78</v>
      </c>
      <c r="I1414" s="901">
        <f t="shared" si="165"/>
        <v>0.48743</v>
      </c>
      <c r="J1414" s="731">
        <f t="shared" si="166"/>
        <v>0.78</v>
      </c>
      <c r="K1414" s="897">
        <f t="shared" si="167"/>
        <v>0.48743</v>
      </c>
      <c r="L1414" s="1374">
        <f t="shared" si="171"/>
        <v>1.26743</v>
      </c>
      <c r="M1414" s="1513">
        <f t="shared" si="168"/>
        <v>0.78</v>
      </c>
      <c r="N1414" s="1515">
        <f t="shared" si="169"/>
        <v>0.48743</v>
      </c>
      <c r="O1414" s="1511">
        <f t="shared" si="172"/>
        <v>1.26743</v>
      </c>
      <c r="X1414" s="2512">
        <f t="shared" si="170"/>
        <v>0</v>
      </c>
    </row>
    <row r="1415" spans="1:24" ht="18.75">
      <c r="A1415" s="2206" t="s">
        <v>888</v>
      </c>
      <c r="B1415" s="2207"/>
      <c r="C1415" s="774" t="s">
        <v>889</v>
      </c>
      <c r="D1415" s="881"/>
      <c r="E1415" s="899"/>
      <c r="F1415" s="1528" t="s">
        <v>573</v>
      </c>
      <c r="G1415" s="836">
        <v>1</v>
      </c>
      <c r="H1415" s="900">
        <f t="shared" si="165"/>
        <v>0.67</v>
      </c>
      <c r="I1415" s="901">
        <f t="shared" si="165"/>
        <v>0.21892999999999999</v>
      </c>
      <c r="J1415" s="731">
        <f>G1415*H1415</f>
        <v>0.67</v>
      </c>
      <c r="K1415" s="897">
        <f>G1415*I1415</f>
        <v>0.21892999999999999</v>
      </c>
      <c r="L1415" s="1374">
        <f t="shared" si="171"/>
        <v>0.88893</v>
      </c>
      <c r="M1415" s="1513">
        <f t="shared" si="168"/>
        <v>0.67</v>
      </c>
      <c r="N1415" s="1515">
        <f t="shared" si="169"/>
        <v>0.21892999999999999</v>
      </c>
      <c r="O1415" s="1511">
        <f>M1415+N1415</f>
        <v>0.88893</v>
      </c>
      <c r="X1415" s="2512">
        <f>U1415*V1415</f>
        <v>0</v>
      </c>
    </row>
    <row r="1416" spans="1:24" ht="18.75">
      <c r="A1416" s="2206" t="s">
        <v>890</v>
      </c>
      <c r="B1416" s="2207"/>
      <c r="C1416" s="774" t="s">
        <v>891</v>
      </c>
      <c r="D1416" s="881"/>
      <c r="E1416" s="899"/>
      <c r="F1416" s="1528" t="s">
        <v>573</v>
      </c>
      <c r="G1416" s="836">
        <v>1</v>
      </c>
      <c r="H1416" s="900">
        <f t="shared" si="165"/>
        <v>0.83</v>
      </c>
      <c r="I1416" s="901">
        <f t="shared" si="165"/>
        <v>0.29233000000000003</v>
      </c>
      <c r="J1416" s="731">
        <f>G1416*H1416</f>
        <v>0.83</v>
      </c>
      <c r="K1416" s="897">
        <f t="shared" si="167"/>
        <v>0.29233000000000003</v>
      </c>
      <c r="L1416" s="1374">
        <f t="shared" si="171"/>
        <v>1.12233</v>
      </c>
      <c r="M1416" s="1513">
        <f t="shared" si="168"/>
        <v>0.83</v>
      </c>
      <c r="N1416" s="1515">
        <f t="shared" si="169"/>
        <v>0.29233000000000003</v>
      </c>
      <c r="O1416" s="1511">
        <f t="shared" si="172"/>
        <v>1.12233</v>
      </c>
      <c r="X1416" s="2512">
        <f>U1416*V1416</f>
        <v>0</v>
      </c>
    </row>
    <row r="1417" spans="1:24" ht="18.75">
      <c r="A1417" s="2206" t="s">
        <v>892</v>
      </c>
      <c r="B1417" s="2207"/>
      <c r="C1417" s="774" t="s">
        <v>893</v>
      </c>
      <c r="D1417" s="881"/>
      <c r="E1417" s="899"/>
      <c r="F1417" s="1528" t="s">
        <v>573</v>
      </c>
      <c r="G1417" s="836">
        <v>1</v>
      </c>
      <c r="H1417" s="900">
        <f t="shared" si="165"/>
        <v>0.83</v>
      </c>
      <c r="I1417" s="901">
        <f t="shared" si="165"/>
        <v>0.28492</v>
      </c>
      <c r="J1417" s="731">
        <f>G1417*H1417</f>
        <v>0.83</v>
      </c>
      <c r="K1417" s="897">
        <f>G1417*I1417</f>
        <v>0.28492</v>
      </c>
      <c r="L1417" s="1374">
        <f t="shared" si="171"/>
        <v>1.11492</v>
      </c>
      <c r="M1417" s="1513">
        <f t="shared" si="168"/>
        <v>0.83</v>
      </c>
      <c r="N1417" s="1515">
        <f t="shared" si="169"/>
        <v>0.28492</v>
      </c>
      <c r="O1417" s="1511">
        <f t="shared" si="172"/>
        <v>1.11492</v>
      </c>
      <c r="X1417" s="2512">
        <f>U1417*V1417</f>
        <v>0</v>
      </c>
    </row>
    <row r="1418" spans="1:24" ht="18.75">
      <c r="A1418" s="2206">
        <v>4</v>
      </c>
      <c r="B1418" s="2207"/>
      <c r="C1418" s="774" t="s">
        <v>894</v>
      </c>
      <c r="D1418" s="881"/>
      <c r="E1418" s="899"/>
      <c r="F1418" s="1528" t="s">
        <v>573</v>
      </c>
      <c r="G1418" s="836">
        <v>1</v>
      </c>
      <c r="H1418" s="900">
        <f t="shared" si="165"/>
        <v>2.99</v>
      </c>
      <c r="I1418" s="901">
        <f t="shared" si="165"/>
        <v>0.5650000000000001</v>
      </c>
      <c r="J1418" s="731">
        <f t="shared" si="166"/>
        <v>2.99</v>
      </c>
      <c r="K1418" s="902">
        <f>G1418*I1418</f>
        <v>0.5650000000000001</v>
      </c>
      <c r="L1418" s="1374">
        <f t="shared" si="171"/>
        <v>3.555</v>
      </c>
      <c r="M1418" s="1513">
        <f t="shared" si="168"/>
        <v>2.99</v>
      </c>
      <c r="N1418" s="1515">
        <f t="shared" si="169"/>
        <v>0.5650000000000001</v>
      </c>
      <c r="O1418" s="1511">
        <f t="shared" si="172"/>
        <v>3.555</v>
      </c>
      <c r="X1418" s="2512">
        <f t="shared" si="170"/>
        <v>0</v>
      </c>
    </row>
    <row r="1419" spans="1:24" ht="18.75">
      <c r="A1419" s="2206"/>
      <c r="B1419" s="2207"/>
      <c r="C1419" s="892"/>
      <c r="D1419" s="881"/>
      <c r="E1419" s="899"/>
      <c r="F1419" s="1528"/>
      <c r="G1419" s="836"/>
      <c r="H1419" s="900"/>
      <c r="I1419" s="893"/>
      <c r="J1419" s="731"/>
      <c r="K1419" s="897"/>
      <c r="L1419" s="1374"/>
      <c r="M1419" s="1513"/>
      <c r="N1419" s="1514"/>
      <c r="O1419" s="1511"/>
      <c r="X1419" s="2512"/>
    </row>
    <row r="1420" spans="1:24" ht="18.75">
      <c r="A1420" s="2234" t="s">
        <v>895</v>
      </c>
      <c r="B1420" s="2235"/>
      <c r="C1420" s="767" t="s">
        <v>896</v>
      </c>
      <c r="D1420" s="881"/>
      <c r="E1420" s="899"/>
      <c r="F1420" s="935"/>
      <c r="G1420" s="836"/>
      <c r="H1420" s="900"/>
      <c r="I1420" s="893"/>
      <c r="J1420" s="731"/>
      <c r="K1420" s="897"/>
      <c r="L1420" s="1374"/>
      <c r="M1420" s="1513"/>
      <c r="N1420" s="1514"/>
      <c r="O1420" s="1525"/>
      <c r="X1420" s="2512"/>
    </row>
    <row r="1421" spans="1:24" ht="18.75">
      <c r="A1421" s="2206">
        <v>1</v>
      </c>
      <c r="B1421" s="2207"/>
      <c r="C1421" s="774" t="s">
        <v>897</v>
      </c>
      <c r="D1421" s="881"/>
      <c r="E1421" s="903"/>
      <c r="F1421" s="934" t="s">
        <v>898</v>
      </c>
      <c r="G1421" s="836">
        <v>2</v>
      </c>
      <c r="H1421" s="2034"/>
      <c r="I1421" s="2035">
        <f>'[1]цены'!$D$205</f>
        <v>1.1655</v>
      </c>
      <c r="J1421" s="2036"/>
      <c r="K1421" s="2037">
        <f aca="true" t="shared" si="173" ref="K1421:K1437">G1421*I1421</f>
        <v>2.331</v>
      </c>
      <c r="L1421" s="2038">
        <f aca="true" t="shared" si="174" ref="L1421:L1437">J1421+K1421</f>
        <v>2.331</v>
      </c>
      <c r="M1421" s="2039"/>
      <c r="N1421" s="2040">
        <f>G1421*I1421</f>
        <v>2.331</v>
      </c>
      <c r="O1421" s="2041">
        <f>M1421+N1421</f>
        <v>2.331</v>
      </c>
      <c r="X1421" s="2512"/>
    </row>
    <row r="1422" spans="1:24" ht="18.75">
      <c r="A1422" s="2206">
        <v>2</v>
      </c>
      <c r="B1422" s="2207"/>
      <c r="C1422" s="774" t="s">
        <v>899</v>
      </c>
      <c r="D1422" s="881"/>
      <c r="E1422" s="903"/>
      <c r="F1422" s="934" t="s">
        <v>898</v>
      </c>
      <c r="G1422" s="836">
        <v>2</v>
      </c>
      <c r="H1422" s="2034"/>
      <c r="I1422" s="2035">
        <f>'[1]цены'!$D$231</f>
        <v>1.11</v>
      </c>
      <c r="J1422" s="2036"/>
      <c r="K1422" s="2037">
        <f t="shared" si="173"/>
        <v>2.22</v>
      </c>
      <c r="L1422" s="2038">
        <f t="shared" si="174"/>
        <v>2.22</v>
      </c>
      <c r="M1422" s="2039"/>
      <c r="N1422" s="2040">
        <f>G1422*I1422</f>
        <v>2.22</v>
      </c>
      <c r="O1422" s="2041">
        <f aca="true" t="shared" si="175" ref="O1422:O1437">M1422+N1422</f>
        <v>2.22</v>
      </c>
      <c r="X1422" s="2512"/>
    </row>
    <row r="1423" spans="1:24" ht="18.75">
      <c r="A1423" s="2206">
        <v>3</v>
      </c>
      <c r="B1423" s="2207"/>
      <c r="C1423" s="774" t="s">
        <v>241</v>
      </c>
      <c r="D1423" s="881"/>
      <c r="E1423" s="903"/>
      <c r="F1423" s="934" t="s">
        <v>900</v>
      </c>
      <c r="G1423" s="836">
        <v>3</v>
      </c>
      <c r="H1423" s="2034"/>
      <c r="I1423" s="2035">
        <f>'[1]цены'!$D$232</f>
        <v>0.237</v>
      </c>
      <c r="J1423" s="2036"/>
      <c r="K1423" s="2037">
        <f t="shared" si="173"/>
        <v>0.711</v>
      </c>
      <c r="L1423" s="2038">
        <f t="shared" si="174"/>
        <v>0.711</v>
      </c>
      <c r="M1423" s="2039"/>
      <c r="N1423" s="2040">
        <f aca="true" t="shared" si="176" ref="N1423:N1437">G1423*I1423</f>
        <v>0.711</v>
      </c>
      <c r="O1423" s="2041">
        <f t="shared" si="175"/>
        <v>0.711</v>
      </c>
      <c r="X1423" s="2512"/>
    </row>
    <row r="1424" spans="1:24" ht="18.75">
      <c r="A1424" s="2206">
        <v>4</v>
      </c>
      <c r="B1424" s="2207"/>
      <c r="C1424" s="774" t="s">
        <v>242</v>
      </c>
      <c r="D1424" s="881"/>
      <c r="E1424" s="903"/>
      <c r="F1424" s="934" t="s">
        <v>900</v>
      </c>
      <c r="G1424" s="836">
        <v>5</v>
      </c>
      <c r="H1424" s="2034"/>
      <c r="I1424" s="2035">
        <f>'[1]цены'!$D$233</f>
        <v>0.245</v>
      </c>
      <c r="J1424" s="2036"/>
      <c r="K1424" s="2037">
        <f t="shared" si="173"/>
        <v>1.225</v>
      </c>
      <c r="L1424" s="2038">
        <f t="shared" si="174"/>
        <v>1.225</v>
      </c>
      <c r="M1424" s="2039"/>
      <c r="N1424" s="2040">
        <f t="shared" si="176"/>
        <v>1.225</v>
      </c>
      <c r="O1424" s="2041">
        <f t="shared" si="175"/>
        <v>1.225</v>
      </c>
      <c r="X1424" s="2512"/>
    </row>
    <row r="1425" spans="1:24" ht="18.75">
      <c r="A1425" s="2206">
        <v>5</v>
      </c>
      <c r="B1425" s="2207"/>
      <c r="C1425" s="774" t="s">
        <v>243</v>
      </c>
      <c r="D1425" s="881"/>
      <c r="E1425" s="903"/>
      <c r="F1425" s="934" t="s">
        <v>900</v>
      </c>
      <c r="G1425" s="836">
        <v>5</v>
      </c>
      <c r="H1425" s="2034"/>
      <c r="I1425" s="2035">
        <f>'[1]цены'!$D$238</f>
        <v>0.27</v>
      </c>
      <c r="J1425" s="2036"/>
      <c r="K1425" s="2037">
        <f t="shared" si="173"/>
        <v>1.35</v>
      </c>
      <c r="L1425" s="2038">
        <f t="shared" si="174"/>
        <v>1.35</v>
      </c>
      <c r="M1425" s="2039"/>
      <c r="N1425" s="2040">
        <f t="shared" si="176"/>
        <v>1.35</v>
      </c>
      <c r="O1425" s="2041">
        <f t="shared" si="175"/>
        <v>1.35</v>
      </c>
      <c r="X1425" s="2512"/>
    </row>
    <row r="1426" spans="1:24" ht="18.75">
      <c r="A1426" s="900">
        <v>6</v>
      </c>
      <c r="B1426" s="829"/>
      <c r="C1426" s="774" t="s">
        <v>239</v>
      </c>
      <c r="D1426" s="881"/>
      <c r="E1426" s="903"/>
      <c r="F1426" s="934" t="s">
        <v>902</v>
      </c>
      <c r="G1426" s="836">
        <v>1</v>
      </c>
      <c r="H1426" s="2034"/>
      <c r="I1426" s="2035">
        <f>'[1]цены'!$D$207</f>
        <v>0.33</v>
      </c>
      <c r="J1426" s="2036"/>
      <c r="K1426" s="2037">
        <f t="shared" si="173"/>
        <v>0.33</v>
      </c>
      <c r="L1426" s="2038">
        <f t="shared" si="174"/>
        <v>0.33</v>
      </c>
      <c r="M1426" s="2039"/>
      <c r="N1426" s="2040">
        <f t="shared" si="176"/>
        <v>0.33</v>
      </c>
      <c r="O1426" s="2041">
        <f t="shared" si="175"/>
        <v>0.33</v>
      </c>
      <c r="X1426" s="2512"/>
    </row>
    <row r="1427" spans="1:24" ht="18.75">
      <c r="A1427" s="900">
        <v>7</v>
      </c>
      <c r="B1427" s="829"/>
      <c r="C1427" s="774" t="s">
        <v>246</v>
      </c>
      <c r="D1427" s="881"/>
      <c r="E1427" s="903"/>
      <c r="F1427" s="934" t="s">
        <v>247</v>
      </c>
      <c r="G1427" s="836">
        <v>10</v>
      </c>
      <c r="H1427" s="2034"/>
      <c r="I1427" s="2035">
        <f>'[1]цены'!$D$5</f>
        <v>0.01</v>
      </c>
      <c r="J1427" s="2036"/>
      <c r="K1427" s="2037">
        <f t="shared" si="173"/>
        <v>0.1</v>
      </c>
      <c r="L1427" s="2038">
        <f t="shared" si="174"/>
        <v>0.1</v>
      </c>
      <c r="M1427" s="2039"/>
      <c r="N1427" s="2040">
        <f t="shared" si="176"/>
        <v>0.1</v>
      </c>
      <c r="O1427" s="2041">
        <f t="shared" si="175"/>
        <v>0.1</v>
      </c>
      <c r="X1427" s="2512"/>
    </row>
    <row r="1428" spans="1:24" ht="18.75">
      <c r="A1428" s="900">
        <v>8</v>
      </c>
      <c r="B1428" s="829"/>
      <c r="C1428" s="774" t="s">
        <v>249</v>
      </c>
      <c r="D1428" s="881"/>
      <c r="E1428" s="903"/>
      <c r="F1428" s="934" t="s">
        <v>902</v>
      </c>
      <c r="G1428" s="836">
        <v>1</v>
      </c>
      <c r="H1428" s="2034"/>
      <c r="I1428" s="2118">
        <f>'[1]цены'!$D$14</f>
        <v>0.21</v>
      </c>
      <c r="J1428" s="2036"/>
      <c r="K1428" s="2037">
        <f t="shared" si="173"/>
        <v>0.21</v>
      </c>
      <c r="L1428" s="2038">
        <f t="shared" si="174"/>
        <v>0.21</v>
      </c>
      <c r="M1428" s="2039"/>
      <c r="N1428" s="2040">
        <f t="shared" si="176"/>
        <v>0.21</v>
      </c>
      <c r="O1428" s="2041">
        <f t="shared" si="175"/>
        <v>0.21</v>
      </c>
      <c r="X1428" s="2512"/>
    </row>
    <row r="1429" spans="1:24" ht="18.75">
      <c r="A1429" s="900">
        <v>9</v>
      </c>
      <c r="B1429" s="829"/>
      <c r="C1429" s="774" t="s">
        <v>248</v>
      </c>
      <c r="D1429" s="881"/>
      <c r="E1429" s="903"/>
      <c r="F1429" s="934" t="s">
        <v>902</v>
      </c>
      <c r="G1429" s="836">
        <v>5</v>
      </c>
      <c r="H1429" s="2034"/>
      <c r="I1429" s="2035">
        <f>'[1]цены'!$D$38</f>
        <v>0.117</v>
      </c>
      <c r="J1429" s="2036"/>
      <c r="K1429" s="2037">
        <f t="shared" si="173"/>
        <v>0.5850000000000001</v>
      </c>
      <c r="L1429" s="2038">
        <f t="shared" si="174"/>
        <v>0.5850000000000001</v>
      </c>
      <c r="M1429" s="2039"/>
      <c r="N1429" s="2040">
        <f t="shared" si="176"/>
        <v>0.5850000000000001</v>
      </c>
      <c r="O1429" s="2041">
        <f t="shared" si="175"/>
        <v>0.5850000000000001</v>
      </c>
      <c r="X1429" s="2512"/>
    </row>
    <row r="1430" spans="1:24" ht="18.75">
      <c r="A1430" s="900">
        <v>10</v>
      </c>
      <c r="B1430" s="829"/>
      <c r="C1430" s="774" t="s">
        <v>244</v>
      </c>
      <c r="D1430" s="881"/>
      <c r="E1430" s="903"/>
      <c r="F1430" s="934" t="s">
        <v>245</v>
      </c>
      <c r="G1430" s="836">
        <v>3</v>
      </c>
      <c r="H1430" s="2034"/>
      <c r="I1430" s="2035">
        <f>'[1]цены'!$D$3</f>
        <v>0.77</v>
      </c>
      <c r="J1430" s="2036"/>
      <c r="K1430" s="2037">
        <f t="shared" si="173"/>
        <v>2.31</v>
      </c>
      <c r="L1430" s="2038">
        <f t="shared" si="174"/>
        <v>2.31</v>
      </c>
      <c r="M1430" s="2039"/>
      <c r="N1430" s="2040">
        <f t="shared" si="176"/>
        <v>2.31</v>
      </c>
      <c r="O1430" s="2041">
        <f t="shared" si="175"/>
        <v>2.31</v>
      </c>
      <c r="X1430" s="2512"/>
    </row>
    <row r="1431" spans="1:24" ht="18.75">
      <c r="A1431" s="900">
        <v>11</v>
      </c>
      <c r="B1431" s="829"/>
      <c r="C1431" s="774" t="s">
        <v>250</v>
      </c>
      <c r="D1431" s="881"/>
      <c r="E1431" s="903"/>
      <c r="F1431" s="934" t="s">
        <v>902</v>
      </c>
      <c r="G1431" s="836">
        <v>5</v>
      </c>
      <c r="H1431" s="2034"/>
      <c r="I1431" s="2035">
        <f>'[1]цены'!$D$6</f>
        <v>0.015</v>
      </c>
      <c r="J1431" s="2036"/>
      <c r="K1431" s="2037">
        <f t="shared" si="173"/>
        <v>0.075</v>
      </c>
      <c r="L1431" s="2038">
        <f t="shared" si="174"/>
        <v>0.075</v>
      </c>
      <c r="M1431" s="2039"/>
      <c r="N1431" s="2040">
        <f t="shared" si="176"/>
        <v>0.075</v>
      </c>
      <c r="O1431" s="2041">
        <f t="shared" si="175"/>
        <v>0.075</v>
      </c>
      <c r="X1431" s="2512"/>
    </row>
    <row r="1432" spans="1:24" ht="18.75">
      <c r="A1432" s="2206">
        <v>12</v>
      </c>
      <c r="B1432" s="2207"/>
      <c r="C1432" s="774" t="s">
        <v>901</v>
      </c>
      <c r="D1432" s="881"/>
      <c r="E1432" s="903"/>
      <c r="F1432" s="934" t="s">
        <v>902</v>
      </c>
      <c r="G1432" s="836">
        <v>1</v>
      </c>
      <c r="H1432" s="2034"/>
      <c r="I1432" s="2035">
        <f>'[1]цены'!$D$209</f>
        <v>0.45</v>
      </c>
      <c r="J1432" s="2036"/>
      <c r="K1432" s="2037">
        <f t="shared" si="173"/>
        <v>0.45</v>
      </c>
      <c r="L1432" s="2038">
        <f t="shared" si="174"/>
        <v>0.45</v>
      </c>
      <c r="M1432" s="2039"/>
      <c r="N1432" s="2040">
        <f t="shared" si="176"/>
        <v>0.45</v>
      </c>
      <c r="O1432" s="2041">
        <f t="shared" si="175"/>
        <v>0.45</v>
      </c>
      <c r="X1432" s="2512"/>
    </row>
    <row r="1433" spans="1:24" ht="18.75">
      <c r="A1433" s="2206">
        <v>13</v>
      </c>
      <c r="B1433" s="2207"/>
      <c r="C1433" s="774" t="s">
        <v>903</v>
      </c>
      <c r="D1433" s="881"/>
      <c r="E1433" s="903"/>
      <c r="F1433" s="934" t="s">
        <v>900</v>
      </c>
      <c r="G1433" s="836">
        <v>6</v>
      </c>
      <c r="H1433" s="2034"/>
      <c r="I1433" s="2035">
        <f>'[1]цены'!$D$37</f>
        <v>0.765</v>
      </c>
      <c r="J1433" s="2036"/>
      <c r="K1433" s="2037">
        <f t="shared" si="173"/>
        <v>4.59</v>
      </c>
      <c r="L1433" s="2038">
        <f t="shared" si="174"/>
        <v>4.59</v>
      </c>
      <c r="M1433" s="2039"/>
      <c r="N1433" s="2040">
        <f t="shared" si="176"/>
        <v>4.59</v>
      </c>
      <c r="O1433" s="2041">
        <f t="shared" si="175"/>
        <v>4.59</v>
      </c>
      <c r="X1433" s="2512"/>
    </row>
    <row r="1434" spans="1:24" ht="18.75">
      <c r="A1434" s="900">
        <v>14</v>
      </c>
      <c r="B1434" s="829"/>
      <c r="C1434" s="774" t="s">
        <v>240</v>
      </c>
      <c r="D1434" s="881"/>
      <c r="E1434" s="903"/>
      <c r="F1434" s="934" t="s">
        <v>918</v>
      </c>
      <c r="G1434" s="836">
        <v>2</v>
      </c>
      <c r="H1434" s="2034"/>
      <c r="I1434" s="2035">
        <f>'[1]цены'!$D$234</f>
        <v>0.101</v>
      </c>
      <c r="J1434" s="2036"/>
      <c r="K1434" s="2037">
        <f t="shared" si="173"/>
        <v>0.202</v>
      </c>
      <c r="L1434" s="2038">
        <f t="shared" si="174"/>
        <v>0.202</v>
      </c>
      <c r="M1434" s="2039"/>
      <c r="N1434" s="2040">
        <f t="shared" si="176"/>
        <v>0.202</v>
      </c>
      <c r="O1434" s="2041">
        <f t="shared" si="175"/>
        <v>0.202</v>
      </c>
      <c r="X1434" s="2512"/>
    </row>
    <row r="1435" spans="1:24" ht="18.75">
      <c r="A1435" s="2206">
        <v>15</v>
      </c>
      <c r="B1435" s="2207"/>
      <c r="C1435" s="774" t="s">
        <v>917</v>
      </c>
      <c r="D1435" s="881"/>
      <c r="E1435" s="903"/>
      <c r="F1435" s="934" t="s">
        <v>918</v>
      </c>
      <c r="G1435" s="836">
        <v>3</v>
      </c>
      <c r="H1435" s="2034"/>
      <c r="I1435" s="2035">
        <f>'[1]цены'!$D$235</f>
        <v>0.075</v>
      </c>
      <c r="J1435" s="2036"/>
      <c r="K1435" s="2037">
        <f t="shared" si="173"/>
        <v>0.22499999999999998</v>
      </c>
      <c r="L1435" s="2038">
        <f t="shared" si="174"/>
        <v>0.22499999999999998</v>
      </c>
      <c r="M1435" s="2039"/>
      <c r="N1435" s="2040">
        <f>G1435*I1435</f>
        <v>0.22499999999999998</v>
      </c>
      <c r="O1435" s="2041">
        <f t="shared" si="175"/>
        <v>0.22499999999999998</v>
      </c>
      <c r="X1435" s="2512"/>
    </row>
    <row r="1436" spans="1:24" ht="18.75">
      <c r="A1436" s="900">
        <v>16</v>
      </c>
      <c r="B1436" s="829"/>
      <c r="C1436" s="774" t="s">
        <v>329</v>
      </c>
      <c r="D1436" s="881"/>
      <c r="E1436" s="903"/>
      <c r="F1436" s="934" t="s">
        <v>900</v>
      </c>
      <c r="G1436" s="836">
        <v>2</v>
      </c>
      <c r="H1436" s="2034"/>
      <c r="I1436" s="2035">
        <f>'[1]цены'!$D$237</f>
        <v>0.183</v>
      </c>
      <c r="J1436" s="2036"/>
      <c r="K1436" s="2037">
        <f t="shared" si="173"/>
        <v>0.366</v>
      </c>
      <c r="L1436" s="2038">
        <f t="shared" si="174"/>
        <v>0.366</v>
      </c>
      <c r="M1436" s="2039"/>
      <c r="N1436" s="2040">
        <f t="shared" si="176"/>
        <v>0.366</v>
      </c>
      <c r="O1436" s="2041">
        <f t="shared" si="175"/>
        <v>0.366</v>
      </c>
      <c r="X1436" s="2512"/>
    </row>
    <row r="1437" spans="1:24" ht="18.75">
      <c r="A1437" s="900">
        <v>17</v>
      </c>
      <c r="B1437" s="829"/>
      <c r="C1437" s="774" t="s">
        <v>330</v>
      </c>
      <c r="D1437" s="881"/>
      <c r="E1437" s="903"/>
      <c r="F1437" s="934" t="s">
        <v>918</v>
      </c>
      <c r="G1437" s="836">
        <v>2</v>
      </c>
      <c r="H1437" s="2034"/>
      <c r="I1437" s="2042">
        <f>'[1]цены'!$D$236</f>
        <v>0.009</v>
      </c>
      <c r="J1437" s="2036"/>
      <c r="K1437" s="2037">
        <f t="shared" si="173"/>
        <v>0.018</v>
      </c>
      <c r="L1437" s="2038">
        <f t="shared" si="174"/>
        <v>0.018</v>
      </c>
      <c r="M1437" s="2039"/>
      <c r="N1437" s="2040">
        <f t="shared" si="176"/>
        <v>0.018</v>
      </c>
      <c r="O1437" s="2041">
        <f t="shared" si="175"/>
        <v>0.018</v>
      </c>
      <c r="X1437" s="2512"/>
    </row>
    <row r="1438" spans="1:24" ht="18.75">
      <c r="A1438" s="2236"/>
      <c r="B1438" s="2237"/>
      <c r="C1438" s="888"/>
      <c r="D1438" s="889" t="s">
        <v>919</v>
      </c>
      <c r="E1438" s="904"/>
      <c r="F1438" s="894"/>
      <c r="G1438" s="890"/>
      <c r="H1438" s="891"/>
      <c r="I1438" s="894"/>
      <c r="J1438" s="905">
        <f>SUM(J1401:J1435)</f>
        <v>55.21000000000001</v>
      </c>
      <c r="K1438" s="906">
        <f>SUM(K1407:K1437)</f>
        <v>22.676574000000002</v>
      </c>
      <c r="L1438" s="1375">
        <f>SUM(L1401:L1437)</f>
        <v>77.88657399999997</v>
      </c>
      <c r="M1438" s="1517">
        <f>SUM(M1401:M1435)</f>
        <v>55.21000000000001</v>
      </c>
      <c r="N1438" s="1518">
        <f>SUM(N1407:N1437)</f>
        <v>22.676574000000002</v>
      </c>
      <c r="O1438" s="1512">
        <f>SUM(O1401:O1437)</f>
        <v>77.88657399999997</v>
      </c>
      <c r="X1438" s="2512">
        <f>SUM(X1401:X1435)</f>
        <v>0</v>
      </c>
    </row>
    <row r="1439" spans="1:24" ht="18">
      <c r="A1439" s="828"/>
      <c r="B1439" s="829"/>
      <c r="C1439" s="937"/>
      <c r="D1439" s="938" t="s">
        <v>920</v>
      </c>
      <c r="E1439" s="939"/>
      <c r="F1439" s="907"/>
      <c r="G1439" s="908"/>
      <c r="H1439" s="907"/>
      <c r="I1439" s="908"/>
      <c r="J1439" s="909"/>
      <c r="K1439" s="910"/>
      <c r="L1439" s="1376"/>
      <c r="M1439" s="1519"/>
      <c r="N1439" s="1520"/>
      <c r="O1439" s="1526"/>
      <c r="X1439" s="2560"/>
    </row>
    <row r="1440" spans="1:24" ht="18.75">
      <c r="A1440" s="932"/>
      <c r="B1440" s="933"/>
      <c r="C1440" s="940"/>
      <c r="D1440" s="911"/>
      <c r="E1440" s="941"/>
      <c r="F1440" s="912"/>
      <c r="G1440" s="913"/>
      <c r="H1440" s="912"/>
      <c r="I1440" s="913"/>
      <c r="J1440" s="914">
        <f>J1438</f>
        <v>55.21000000000001</v>
      </c>
      <c r="K1440" s="915">
        <v>202600</v>
      </c>
      <c r="L1440" s="1377">
        <f>SUM(J1440:K1440)</f>
        <v>202655.21</v>
      </c>
      <c r="M1440" s="1521">
        <f>M1438</f>
        <v>55.21000000000001</v>
      </c>
      <c r="N1440" s="1522">
        <f>N1438</f>
        <v>22.676574000000002</v>
      </c>
      <c r="O1440" s="1527">
        <f>SUM(M1440:N1440)</f>
        <v>77.88657400000001</v>
      </c>
      <c r="X1440" s="2561">
        <f>X1438</f>
        <v>0</v>
      </c>
    </row>
    <row r="1442" spans="2:24" ht="16.5" customHeight="1">
      <c r="B1442" s="834"/>
      <c r="C1442" s="830"/>
      <c r="D1442" s="831"/>
      <c r="E1442" s="831"/>
      <c r="F1442" s="916"/>
      <c r="G1442" s="831"/>
      <c r="H1442" s="831"/>
      <c r="I1442" s="831"/>
      <c r="J1442" s="917"/>
      <c r="K1442" s="918"/>
      <c r="L1442" s="916"/>
      <c r="M1442" s="917"/>
      <c r="N1442" s="918"/>
      <c r="O1442" s="916"/>
      <c r="X1442" s="2512"/>
    </row>
    <row r="1443" spans="2:24" ht="16.5" customHeight="1">
      <c r="B1443" s="4"/>
      <c r="C1443" s="4" t="s">
        <v>19</v>
      </c>
      <c r="D1443" s="831"/>
      <c r="E1443" s="831"/>
      <c r="F1443" s="916"/>
      <c r="G1443" s="831"/>
      <c r="H1443" s="831"/>
      <c r="I1443" s="831"/>
      <c r="J1443" s="917"/>
      <c r="K1443" s="918"/>
      <c r="L1443" s="916"/>
      <c r="M1443" s="917"/>
      <c r="N1443" s="130" t="s">
        <v>10</v>
      </c>
      <c r="O1443" s="916"/>
      <c r="X1443" s="2512"/>
    </row>
    <row r="1444" spans="1:24" ht="16.5" customHeight="1">
      <c r="A1444" s="830"/>
      <c r="B1444" s="830"/>
      <c r="C1444" s="830"/>
      <c r="D1444" s="831"/>
      <c r="E1444" s="831"/>
      <c r="F1444" s="916"/>
      <c r="G1444" s="831"/>
      <c r="H1444" s="831"/>
      <c r="I1444" s="831"/>
      <c r="J1444" s="917"/>
      <c r="K1444" s="919"/>
      <c r="L1444" s="916"/>
      <c r="M1444" s="917"/>
      <c r="N1444" s="919"/>
      <c r="O1444" s="916"/>
      <c r="X1444" s="2512"/>
    </row>
    <row r="1445" spans="1:24" ht="16.5" customHeight="1">
      <c r="A1445" s="1196"/>
      <c r="B1445" s="1196"/>
      <c r="C1445" s="1196" t="s">
        <v>152</v>
      </c>
      <c r="D1445" s="831"/>
      <c r="E1445" s="831"/>
      <c r="F1445" s="916"/>
      <c r="G1445" s="831"/>
      <c r="H1445" s="831"/>
      <c r="I1445" s="831"/>
      <c r="J1445" s="917"/>
      <c r="K1445" s="919"/>
      <c r="L1445" s="916"/>
      <c r="M1445" s="917"/>
      <c r="N1445" s="919" t="str">
        <f>N1368</f>
        <v>О.Н.Гаркавая</v>
      </c>
      <c r="O1445" s="916"/>
      <c r="X1445" s="2512"/>
    </row>
    <row r="1446" spans="2:24" ht="16.5" customHeight="1">
      <c r="B1446" s="834"/>
      <c r="C1446" s="831"/>
      <c r="D1446" s="831"/>
      <c r="E1446" s="831"/>
      <c r="F1446" s="916"/>
      <c r="G1446" s="831"/>
      <c r="H1446" s="831"/>
      <c r="I1446" s="831"/>
      <c r="J1446" s="917"/>
      <c r="K1446" s="919"/>
      <c r="L1446" s="916"/>
      <c r="M1446" s="917"/>
      <c r="N1446" s="919"/>
      <c r="O1446" s="916"/>
      <c r="X1446" s="2512"/>
    </row>
    <row r="1447" spans="2:24" ht="16.5" customHeight="1">
      <c r="B1447" s="834"/>
      <c r="C1447" s="952" t="s">
        <v>829</v>
      </c>
      <c r="D1447" s="831"/>
      <c r="E1447" s="831"/>
      <c r="F1447" s="916"/>
      <c r="G1447" s="831"/>
      <c r="H1447" s="831"/>
      <c r="I1447" s="831"/>
      <c r="J1447" s="917"/>
      <c r="K1447" s="919"/>
      <c r="L1447" s="916"/>
      <c r="M1447" s="917"/>
      <c r="N1447" s="919" t="s">
        <v>830</v>
      </c>
      <c r="O1447" s="916"/>
      <c r="X1447" s="2512"/>
    </row>
    <row r="1448" spans="1:14" ht="16.5" customHeight="1">
      <c r="A1448" s="831"/>
      <c r="B1448" s="831"/>
      <c r="C1448" s="831"/>
      <c r="D1448" s="539"/>
      <c r="E1448" s="539"/>
      <c r="K1448" s="919"/>
      <c r="N1448" s="919"/>
    </row>
    <row r="1449" spans="1:14" ht="16.5" customHeight="1">
      <c r="A1449" s="1195"/>
      <c r="B1449" s="1195"/>
      <c r="C1449" s="1195" t="s">
        <v>831</v>
      </c>
      <c r="D1449" s="1195"/>
      <c r="E1449" s="1195"/>
      <c r="K1449" s="919"/>
      <c r="N1449" s="919" t="s">
        <v>832</v>
      </c>
    </row>
    <row r="1450" ht="16.5" customHeight="1"/>
    <row r="1451" spans="1:24" ht="15" customHeight="1">
      <c r="A1451" s="2203"/>
      <c r="B1451" s="2203"/>
      <c r="C1451" s="2203"/>
      <c r="D1451" s="2203"/>
      <c r="E1451" s="2203"/>
      <c r="F1451" s="916"/>
      <c r="G1451" s="831"/>
      <c r="H1451" s="831"/>
      <c r="I1451" s="831"/>
      <c r="J1451" s="917"/>
      <c r="K1451" s="942"/>
      <c r="L1451" s="916"/>
      <c r="M1451" s="917"/>
      <c r="N1451" s="942"/>
      <c r="O1451" s="916"/>
      <c r="X1451" s="2512"/>
    </row>
    <row r="1453" spans="1:24" ht="15">
      <c r="A1453" s="4"/>
      <c r="B1453" s="113"/>
      <c r="C1453" s="114"/>
      <c r="D1453" s="114"/>
      <c r="E1453" s="114"/>
      <c r="F1453" s="114"/>
      <c r="G1453" s="115"/>
      <c r="H1453" s="113"/>
      <c r="I1453" s="113"/>
      <c r="J1453" s="622"/>
      <c r="K1453" s="626"/>
      <c r="L1453" s="114"/>
      <c r="M1453" s="622"/>
      <c r="N1453" s="626"/>
      <c r="O1453" s="114"/>
      <c r="X1453" s="2517"/>
    </row>
    <row r="1454" spans="1:24" ht="15">
      <c r="A1454" s="4"/>
      <c r="B1454" s="113"/>
      <c r="C1454" s="114"/>
      <c r="D1454" s="114"/>
      <c r="E1454" s="114"/>
      <c r="F1454" s="114"/>
      <c r="G1454" s="115"/>
      <c r="H1454" s="113"/>
      <c r="I1454" s="113"/>
      <c r="J1454" s="622"/>
      <c r="K1454" s="626"/>
      <c r="L1454" s="114"/>
      <c r="M1454" s="622"/>
      <c r="N1454" s="626"/>
      <c r="O1454" s="114"/>
      <c r="X1454" s="2517"/>
    </row>
    <row r="1455" spans="1:24" ht="15">
      <c r="A1455" s="4"/>
      <c r="B1455" s="113"/>
      <c r="C1455" s="114"/>
      <c r="D1455" s="114"/>
      <c r="E1455" s="114"/>
      <c r="F1455" s="114"/>
      <c r="G1455" s="115"/>
      <c r="H1455" s="113"/>
      <c r="I1455" s="113"/>
      <c r="J1455" s="622"/>
      <c r="K1455" s="626"/>
      <c r="L1455" s="114"/>
      <c r="M1455" s="622"/>
      <c r="N1455" s="626"/>
      <c r="O1455" s="114"/>
      <c r="X1455" s="2517"/>
    </row>
  </sheetData>
  <sheetProtection/>
  <mergeCells count="180">
    <mergeCell ref="A1438:B1438"/>
    <mergeCell ref="A1415:B1415"/>
    <mergeCell ref="A1416:B1416"/>
    <mergeCell ref="A1411:B1411"/>
    <mergeCell ref="A1412:B1412"/>
    <mergeCell ref="A1423:B1423"/>
    <mergeCell ref="A1424:B1424"/>
    <mergeCell ref="A1425:B1425"/>
    <mergeCell ref="A1417:B1417"/>
    <mergeCell ref="A1418:B1418"/>
    <mergeCell ref="A1405:B1405"/>
    <mergeCell ref="A1435:B1435"/>
    <mergeCell ref="A1421:B1421"/>
    <mergeCell ref="A1422:B1422"/>
    <mergeCell ref="A1409:B1409"/>
    <mergeCell ref="A1414:B1414"/>
    <mergeCell ref="A1432:B1432"/>
    <mergeCell ref="A1433:B1433"/>
    <mergeCell ref="A1420:B1420"/>
    <mergeCell ref="C115:H116"/>
    <mergeCell ref="C86:H90"/>
    <mergeCell ref="C125:H126"/>
    <mergeCell ref="A1413:B1413"/>
    <mergeCell ref="A1388:L1388"/>
    <mergeCell ref="L1361:L1362"/>
    <mergeCell ref="C550:H550"/>
    <mergeCell ref="C143:H144"/>
    <mergeCell ref="C117:H118"/>
    <mergeCell ref="C135:H136"/>
    <mergeCell ref="C70:H71"/>
    <mergeCell ref="C73:H74"/>
    <mergeCell ref="C75:H76"/>
    <mergeCell ref="C94:H95"/>
    <mergeCell ref="C77:H78"/>
    <mergeCell ref="C79:H80"/>
    <mergeCell ref="C96:H97"/>
    <mergeCell ref="C98:H99"/>
    <mergeCell ref="C100:H101"/>
    <mergeCell ref="C107:H108"/>
    <mergeCell ref="C109:H110"/>
    <mergeCell ref="C150:H152"/>
    <mergeCell ref="C147:H149"/>
    <mergeCell ref="C145:H146"/>
    <mergeCell ref="C137:H138"/>
    <mergeCell ref="C141:H142"/>
    <mergeCell ref="C133:H134"/>
    <mergeCell ref="C119:H120"/>
    <mergeCell ref="C537:H539"/>
    <mergeCell ref="G589:H589"/>
    <mergeCell ref="C555:H555"/>
    <mergeCell ref="C139:H140"/>
    <mergeCell ref="C156:H157"/>
    <mergeCell ref="C121:H122"/>
    <mergeCell ref="C129:H130"/>
    <mergeCell ref="C131:H132"/>
    <mergeCell ref="A11:O11"/>
    <mergeCell ref="C44:H44"/>
    <mergeCell ref="C533:H535"/>
    <mergeCell ref="C557:H557"/>
    <mergeCell ref="C558:H558"/>
    <mergeCell ref="C552:H552"/>
    <mergeCell ref="C556:H556"/>
    <mergeCell ref="C554:H554"/>
    <mergeCell ref="C111:H112"/>
    <mergeCell ref="C113:H114"/>
    <mergeCell ref="C547:H547"/>
    <mergeCell ref="C549:H549"/>
    <mergeCell ref="A9:L9"/>
    <mergeCell ref="C66:H68"/>
    <mergeCell ref="C54:H56"/>
    <mergeCell ref="C57:H59"/>
    <mergeCell ref="C61:H62"/>
    <mergeCell ref="C64:H65"/>
    <mergeCell ref="J14:L15"/>
    <mergeCell ref="A10:O10"/>
    <mergeCell ref="C819:H821"/>
    <mergeCell ref="C835:H837"/>
    <mergeCell ref="C829:H830"/>
    <mergeCell ref="C831:H833"/>
    <mergeCell ref="C608:H608"/>
    <mergeCell ref="C609:H609"/>
    <mergeCell ref="B616:H616"/>
    <mergeCell ref="C1111:H1111"/>
    <mergeCell ref="C1115:H1115"/>
    <mergeCell ref="C1117:H1117"/>
    <mergeCell ref="C822:H824"/>
    <mergeCell ref="C826:H827"/>
    <mergeCell ref="C839:H840"/>
    <mergeCell ref="C843:H844"/>
    <mergeCell ref="C841:H842"/>
    <mergeCell ref="C1110:H1110"/>
    <mergeCell ref="C1113:H1113"/>
    <mergeCell ref="C845:H846"/>
    <mergeCell ref="C1119:H1119"/>
    <mergeCell ref="C1094:H1096"/>
    <mergeCell ref="C1098:H1100"/>
    <mergeCell ref="C1108:H1108"/>
    <mergeCell ref="C1116:H1116"/>
    <mergeCell ref="A1324:B1324"/>
    <mergeCell ref="A1311:O1311"/>
    <mergeCell ref="C1186:H1187"/>
    <mergeCell ref="C1188:H1189"/>
    <mergeCell ref="C1190:H1191"/>
    <mergeCell ref="A1309:O1309"/>
    <mergeCell ref="J1314:L1315"/>
    <mergeCell ref="A1312:L1312"/>
    <mergeCell ref="C1194:H1195"/>
    <mergeCell ref="C1196:H1197"/>
    <mergeCell ref="A1310:O1310"/>
    <mergeCell ref="C1201:H1203"/>
    <mergeCell ref="C1184:H1185"/>
    <mergeCell ref="C1160:H1161"/>
    <mergeCell ref="A1308:O1308"/>
    <mergeCell ref="C1170:H1171"/>
    <mergeCell ref="C1172:H1173"/>
    <mergeCell ref="C1182:H1183"/>
    <mergeCell ref="C1192:H1193"/>
    <mergeCell ref="A1451:E1451"/>
    <mergeCell ref="A1361:B1362"/>
    <mergeCell ref="A1349:B1349"/>
    <mergeCell ref="A1356:B1356"/>
    <mergeCell ref="A1419:B1419"/>
    <mergeCell ref="A1400:B1400"/>
    <mergeCell ref="A1401:B1402"/>
    <mergeCell ref="A1410:B1410"/>
    <mergeCell ref="A1406:B1407"/>
    <mergeCell ref="A1408:B1408"/>
    <mergeCell ref="C1198:H1200"/>
    <mergeCell ref="M14:O15"/>
    <mergeCell ref="C1145:H1146"/>
    <mergeCell ref="C1147:H1148"/>
    <mergeCell ref="C1149:H1150"/>
    <mergeCell ref="C1151:H1152"/>
    <mergeCell ref="C1164:H1165"/>
    <mergeCell ref="C1118:H1118"/>
    <mergeCell ref="C1162:H1163"/>
    <mergeCell ref="C1158:H1159"/>
    <mergeCell ref="A1403:B1404"/>
    <mergeCell ref="A1338:B1338"/>
    <mergeCell ref="A1337:B1337"/>
    <mergeCell ref="A1336:B1336"/>
    <mergeCell ref="A1333:B1333"/>
    <mergeCell ref="A1342:B1342"/>
    <mergeCell ref="J1393:K1393"/>
    <mergeCell ref="C1166:H1167"/>
    <mergeCell ref="C1176:H1177"/>
    <mergeCell ref="C1180:H1181"/>
    <mergeCell ref="C1168:H1169"/>
    <mergeCell ref="A1316:B1323"/>
    <mergeCell ref="A1332:B1332"/>
    <mergeCell ref="A1339:B1339"/>
    <mergeCell ref="A1330:B1331"/>
    <mergeCell ref="C1207:H1208"/>
    <mergeCell ref="A1340:B1340"/>
    <mergeCell ref="A1335:B1335"/>
    <mergeCell ref="M1392:N1392"/>
    <mergeCell ref="M1393:N1393"/>
    <mergeCell ref="M1390:O1391"/>
    <mergeCell ref="A1386:O1386"/>
    <mergeCell ref="A1392:B1399"/>
    <mergeCell ref="J1392:K1392"/>
    <mergeCell ref="J1390:L1391"/>
    <mergeCell ref="A1387:O1387"/>
    <mergeCell ref="A1345:B1345"/>
    <mergeCell ref="A1341:B1341"/>
    <mergeCell ref="A1325:B1326"/>
    <mergeCell ref="A1334:B1334"/>
    <mergeCell ref="A1357:B1357"/>
    <mergeCell ref="A1348:B1348"/>
    <mergeCell ref="A1343:B1343"/>
    <mergeCell ref="A1327:B1328"/>
    <mergeCell ref="A1329:B1329"/>
    <mergeCell ref="A1344:B1344"/>
    <mergeCell ref="A1359:B1359"/>
    <mergeCell ref="A1360:B1360"/>
    <mergeCell ref="A1385:O1385"/>
    <mergeCell ref="O1361:O1362"/>
    <mergeCell ref="A1384:O1384"/>
    <mergeCell ref="A1346:B1346"/>
    <mergeCell ref="A1347:B134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60" r:id="rId3"/>
  <colBreaks count="3" manualBreakCount="3">
    <brk id="15" min="3" max="1447" man="1"/>
    <brk id="16" max="65535" man="1"/>
    <brk id="2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N34"/>
  <sheetViews>
    <sheetView view="pageBreakPreview" zoomScaleSheetLayoutView="100" zoomScalePageLayoutView="0" workbookViewId="0" topLeftCell="A1">
      <selection activeCell="L24" sqref="L24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3.7109375" style="0" customWidth="1"/>
    <col min="8" max="8" width="11.28125" style="0" customWidth="1"/>
    <col min="11" max="11" width="9.28125" style="0" bestFit="1" customWidth="1"/>
    <col min="12" max="12" width="10.140625" style="0" bestFit="1" customWidth="1"/>
  </cols>
  <sheetData>
    <row r="1" spans="1:14" ht="15">
      <c r="A1" s="148"/>
      <c r="B1" s="149"/>
      <c r="C1" s="149"/>
      <c r="D1" s="149"/>
      <c r="E1" s="149"/>
      <c r="F1" s="149"/>
      <c r="G1" s="149"/>
      <c r="H1" s="149"/>
      <c r="I1" s="119"/>
      <c r="J1" s="150"/>
      <c r="K1" s="151" t="s">
        <v>393</v>
      </c>
      <c r="L1" s="152"/>
      <c r="M1" s="151"/>
      <c r="N1" s="151"/>
    </row>
    <row r="2" spans="1:14" ht="15">
      <c r="A2" s="148"/>
      <c r="B2" s="149"/>
      <c r="C2" s="149"/>
      <c r="D2" s="149"/>
      <c r="E2" s="149"/>
      <c r="F2" s="149"/>
      <c r="G2" s="149"/>
      <c r="H2" s="149"/>
      <c r="I2" s="119"/>
      <c r="J2" s="150"/>
      <c r="K2" s="151"/>
      <c r="L2" s="152"/>
      <c r="M2" s="151"/>
      <c r="N2" s="153" t="str">
        <f>'прейск-т'!O5</f>
        <v>Главный врач Слонимской ЦРБ</v>
      </c>
    </row>
    <row r="3" spans="1:14" ht="15">
      <c r="A3" s="148"/>
      <c r="B3" s="149"/>
      <c r="C3" s="149"/>
      <c r="D3" s="149"/>
      <c r="E3" s="149"/>
      <c r="F3" s="149"/>
      <c r="G3" s="149"/>
      <c r="H3" s="149"/>
      <c r="I3" s="119"/>
      <c r="J3" s="150"/>
      <c r="K3" s="151"/>
      <c r="L3" s="152"/>
      <c r="M3" s="151"/>
      <c r="N3" s="153" t="s">
        <v>406</v>
      </c>
    </row>
    <row r="4" spans="1:14" ht="15">
      <c r="A4" s="148"/>
      <c r="B4" s="149"/>
      <c r="C4" s="149"/>
      <c r="D4" s="149"/>
      <c r="E4" s="149"/>
      <c r="F4" s="149"/>
      <c r="G4" s="149"/>
      <c r="H4" s="149"/>
      <c r="I4" s="119"/>
      <c r="J4" s="150"/>
      <c r="K4" s="1039">
        <f>'прейск-т'!M7</f>
        <v>1</v>
      </c>
      <c r="L4" s="2246" t="str">
        <f>'прейск-т'!N7</f>
        <v>июля</v>
      </c>
      <c r="M4" s="2246"/>
      <c r="N4" s="153" t="str">
        <f>'прейск-т'!O7</f>
        <v>2017 г.</v>
      </c>
    </row>
    <row r="5" spans="1:14" ht="15">
      <c r="A5" s="148"/>
      <c r="B5" s="149"/>
      <c r="C5" s="149"/>
      <c r="D5" s="149"/>
      <c r="E5" s="149"/>
      <c r="F5" s="149"/>
      <c r="G5" s="149"/>
      <c r="H5" s="149"/>
      <c r="I5" s="119"/>
      <c r="J5" s="150"/>
      <c r="K5" s="151"/>
      <c r="L5" s="152"/>
      <c r="M5" s="151"/>
      <c r="N5" s="151"/>
    </row>
    <row r="6" spans="1:14" ht="25.5" hidden="1">
      <c r="A6" s="2247" t="s">
        <v>438</v>
      </c>
      <c r="B6" s="2247"/>
      <c r="C6" s="2247"/>
      <c r="D6" s="2247"/>
      <c r="E6" s="2247"/>
      <c r="F6" s="2247"/>
      <c r="G6" s="2247"/>
      <c r="H6" s="2247"/>
      <c r="I6" s="2247"/>
      <c r="J6" s="2247"/>
      <c r="K6" s="2247"/>
      <c r="L6" s="2247"/>
      <c r="M6" s="2247"/>
      <c r="N6" s="2247"/>
    </row>
    <row r="7" spans="1:14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6"/>
      <c r="M7" s="155"/>
      <c r="N7" s="155"/>
    </row>
    <row r="8" spans="1:14" ht="12.75">
      <c r="A8" s="158"/>
      <c r="B8" s="159"/>
      <c r="C8" s="159"/>
      <c r="D8" s="159"/>
      <c r="E8" s="159"/>
      <c r="F8" s="159"/>
      <c r="G8" s="159"/>
      <c r="H8" s="159"/>
      <c r="I8" s="158"/>
      <c r="J8" s="160"/>
      <c r="K8" s="161"/>
      <c r="L8" s="162"/>
      <c r="M8" s="159"/>
      <c r="N8" s="163"/>
    </row>
    <row r="9" spans="1:14" ht="17.25">
      <c r="A9" s="2248" t="s">
        <v>439</v>
      </c>
      <c r="B9" s="2248"/>
      <c r="C9" s="2248"/>
      <c r="D9" s="2248"/>
      <c r="E9" s="2248"/>
      <c r="F9" s="2248"/>
      <c r="G9" s="2248"/>
      <c r="H9" s="2248"/>
      <c r="I9" s="2248"/>
      <c r="J9" s="2248"/>
      <c r="K9" s="2248"/>
      <c r="L9" s="2248"/>
      <c r="M9" s="2248"/>
      <c r="N9" s="2248"/>
    </row>
    <row r="10" spans="1:14" ht="17.25">
      <c r="A10" s="2248" t="s">
        <v>922</v>
      </c>
      <c r="B10" s="2248"/>
      <c r="C10" s="2248"/>
      <c r="D10" s="2248"/>
      <c r="E10" s="2248"/>
      <c r="F10" s="2248"/>
      <c r="G10" s="2248"/>
      <c r="H10" s="2248"/>
      <c r="I10" s="2248"/>
      <c r="J10" s="2248"/>
      <c r="K10" s="2248"/>
      <c r="L10" s="2248"/>
      <c r="M10" s="2248"/>
      <c r="N10" s="2248"/>
    </row>
    <row r="11" spans="1:14" ht="15.75">
      <c r="A11" s="166"/>
      <c r="B11" s="167"/>
      <c r="C11" s="167"/>
      <c r="D11" s="167"/>
      <c r="E11" s="167"/>
      <c r="F11" s="167"/>
      <c r="G11" s="168"/>
      <c r="H11" s="167"/>
      <c r="I11" s="169"/>
      <c r="J11" s="165"/>
      <c r="K11" s="165"/>
      <c r="L11" s="170"/>
      <c r="M11" s="165"/>
      <c r="N11" s="165"/>
    </row>
    <row r="12" spans="1:14" ht="15">
      <c r="A12" s="171"/>
      <c r="B12" s="172" t="str">
        <f>'прейск-т'!C1313</f>
        <v>вводится с </v>
      </c>
      <c r="C12" s="173" t="str">
        <f>'прейск-т'!D13</f>
        <v>01.07.2017г.</v>
      </c>
      <c r="D12" s="173"/>
      <c r="E12" s="174"/>
      <c r="F12" s="174"/>
      <c r="G12" s="175"/>
      <c r="H12" s="174"/>
      <c r="I12" s="176"/>
      <c r="J12" s="177"/>
      <c r="K12" s="177"/>
      <c r="L12" s="178"/>
      <c r="M12" s="177"/>
      <c r="N12" s="177"/>
    </row>
    <row r="13" spans="1:14" ht="12.75">
      <c r="A13" s="2250" t="s">
        <v>259</v>
      </c>
      <c r="B13" s="180"/>
      <c r="C13" s="180"/>
      <c r="D13" s="180"/>
      <c r="E13" s="181"/>
      <c r="F13" s="180"/>
      <c r="G13" s="180"/>
      <c r="H13" s="182"/>
      <c r="I13" s="183"/>
      <c r="J13" s="2253" t="s">
        <v>447</v>
      </c>
      <c r="K13" s="2254"/>
      <c r="L13" s="185" t="s">
        <v>923</v>
      </c>
      <c r="M13" s="2240" t="s">
        <v>443</v>
      </c>
      <c r="N13" s="2241"/>
    </row>
    <row r="14" spans="1:14" ht="12.75">
      <c r="A14" s="2251"/>
      <c r="B14" s="174"/>
      <c r="C14" s="174"/>
      <c r="D14" s="174"/>
      <c r="E14" s="174"/>
      <c r="F14" s="174"/>
      <c r="G14" s="174"/>
      <c r="H14" s="188"/>
      <c r="I14" s="189"/>
      <c r="J14" s="2242"/>
      <c r="K14" s="2243"/>
      <c r="L14" s="191" t="s">
        <v>924</v>
      </c>
      <c r="M14" s="2244" t="s">
        <v>925</v>
      </c>
      <c r="N14" s="2245"/>
    </row>
    <row r="15" spans="1:14" ht="12.75">
      <c r="A15" s="2251"/>
      <c r="B15" s="174"/>
      <c r="C15" s="174"/>
      <c r="D15" s="174"/>
      <c r="E15" s="148" t="s">
        <v>445</v>
      </c>
      <c r="F15" s="174"/>
      <c r="G15" s="174"/>
      <c r="H15" s="188"/>
      <c r="I15" s="189" t="s">
        <v>844</v>
      </c>
      <c r="J15" s="184" t="s">
        <v>926</v>
      </c>
      <c r="K15" s="179" t="s">
        <v>927</v>
      </c>
      <c r="L15" s="191" t="s">
        <v>448</v>
      </c>
      <c r="M15" s="2238" t="s">
        <v>453</v>
      </c>
      <c r="N15" s="2239"/>
    </row>
    <row r="16" spans="1:14" ht="12.75">
      <c r="A16" s="2251"/>
      <c r="B16" s="148"/>
      <c r="C16" s="148"/>
      <c r="D16" s="148"/>
      <c r="E16" s="148"/>
      <c r="F16" s="174"/>
      <c r="G16" s="174"/>
      <c r="H16" s="189"/>
      <c r="I16" s="189" t="s">
        <v>928</v>
      </c>
      <c r="J16" s="194" t="s">
        <v>929</v>
      </c>
      <c r="K16" s="187" t="s">
        <v>930</v>
      </c>
      <c r="L16" s="191" t="s">
        <v>452</v>
      </c>
      <c r="M16" s="195" t="s">
        <v>926</v>
      </c>
      <c r="N16" s="186" t="s">
        <v>927</v>
      </c>
    </row>
    <row r="17" spans="1:14" ht="12.75">
      <c r="A17" s="2251"/>
      <c r="B17" s="174"/>
      <c r="C17" s="174"/>
      <c r="D17" s="174"/>
      <c r="E17" s="174"/>
      <c r="F17" s="174"/>
      <c r="G17" s="148"/>
      <c r="H17" s="189"/>
      <c r="I17" s="189" t="s">
        <v>931</v>
      </c>
      <c r="J17" s="194"/>
      <c r="K17" s="187" t="s">
        <v>932</v>
      </c>
      <c r="L17" s="199"/>
      <c r="M17" s="200" t="s">
        <v>929</v>
      </c>
      <c r="N17" s="192" t="s">
        <v>930</v>
      </c>
    </row>
    <row r="18" spans="1:14" ht="12.75">
      <c r="A18" s="2251"/>
      <c r="B18" s="174"/>
      <c r="C18" s="174"/>
      <c r="D18" s="174"/>
      <c r="E18" s="174"/>
      <c r="F18" s="174"/>
      <c r="G18" s="148"/>
      <c r="H18" s="189"/>
      <c r="I18" s="189"/>
      <c r="J18" s="194"/>
      <c r="K18" s="187"/>
      <c r="L18" s="199"/>
      <c r="M18" s="200"/>
      <c r="N18" s="192" t="s">
        <v>932</v>
      </c>
    </row>
    <row r="19" spans="1:14" ht="12.75">
      <c r="A19" s="2252"/>
      <c r="B19" s="202"/>
      <c r="C19" s="202"/>
      <c r="D19" s="202"/>
      <c r="E19" s="202"/>
      <c r="F19" s="202"/>
      <c r="G19" s="202"/>
      <c r="H19" s="203"/>
      <c r="I19" s="125"/>
      <c r="J19" s="190" t="s">
        <v>933</v>
      </c>
      <c r="K19" s="124" t="s">
        <v>457</v>
      </c>
      <c r="L19" s="204" t="s">
        <v>457</v>
      </c>
      <c r="M19" s="205" t="s">
        <v>457</v>
      </c>
      <c r="N19" s="193" t="s">
        <v>457</v>
      </c>
    </row>
    <row r="20" spans="1:14" ht="15">
      <c r="A20" s="1197"/>
      <c r="B20" s="2249" t="s">
        <v>765</v>
      </c>
      <c r="C20" s="2249"/>
      <c r="D20" s="2249"/>
      <c r="E20" s="2249"/>
      <c r="F20" s="2249"/>
      <c r="G20" s="2249"/>
      <c r="H20" s="2249"/>
      <c r="I20" s="1241"/>
      <c r="J20" s="1197"/>
      <c r="K20" s="1197"/>
      <c r="L20" s="2007">
        <f>'[1]лаб.'!$J$424</f>
        <v>1.8250999999999997</v>
      </c>
      <c r="M20" s="1197"/>
      <c r="N20" s="1197"/>
    </row>
    <row r="21" spans="1:14" ht="15">
      <c r="A21" s="1198"/>
      <c r="B21" s="2255" t="s">
        <v>766</v>
      </c>
      <c r="C21" s="2256"/>
      <c r="D21" s="2256"/>
      <c r="E21" s="2256"/>
      <c r="F21" s="2256"/>
      <c r="G21" s="2256"/>
      <c r="H21" s="2257"/>
      <c r="I21" s="1242"/>
      <c r="J21" s="1198"/>
      <c r="K21" s="1198"/>
      <c r="L21" s="2113">
        <f>'[1]лаб.'!$J$436</f>
        <v>2.9642</v>
      </c>
      <c r="M21" s="1198"/>
      <c r="N21" s="1198"/>
    </row>
    <row r="22" spans="1:14" ht="15">
      <c r="A22" s="1197"/>
      <c r="B22" s="2249" t="s">
        <v>767</v>
      </c>
      <c r="C22" s="2249"/>
      <c r="D22" s="2249"/>
      <c r="E22" s="2249"/>
      <c r="F22" s="2249"/>
      <c r="G22" s="2249"/>
      <c r="H22" s="2249"/>
      <c r="I22" s="1241"/>
      <c r="J22" s="1197"/>
      <c r="K22" s="1197"/>
      <c r="L22" s="2114">
        <f>'[1]лаб.'!$J$448</f>
        <v>1.8861999999999999</v>
      </c>
      <c r="M22" s="1197"/>
      <c r="N22" s="1197"/>
    </row>
    <row r="23" spans="1:14" ht="15">
      <c r="A23" s="1197"/>
      <c r="B23" s="2249" t="s">
        <v>768</v>
      </c>
      <c r="C23" s="2249"/>
      <c r="D23" s="2249"/>
      <c r="E23" s="2249"/>
      <c r="F23" s="2249"/>
      <c r="G23" s="2249"/>
      <c r="H23" s="2249"/>
      <c r="I23" s="1241"/>
      <c r="J23" s="1197"/>
      <c r="K23" s="1197"/>
      <c r="L23" s="2114">
        <f>'[1]лаб.'!$J$461</f>
        <v>10.408499999999998</v>
      </c>
      <c r="M23" s="1197"/>
      <c r="N23" s="1197"/>
    </row>
    <row r="24" spans="1:14" ht="15">
      <c r="A24" s="1243"/>
      <c r="B24" s="1244"/>
      <c r="C24" s="1244"/>
      <c r="D24" s="1244"/>
      <c r="E24" s="1244"/>
      <c r="F24" s="1244"/>
      <c r="G24" s="1244"/>
      <c r="H24" s="1244"/>
      <c r="I24" s="1245"/>
      <c r="J24" s="1243"/>
      <c r="K24" s="1243"/>
      <c r="L24" s="1246"/>
      <c r="M24" s="1243"/>
      <c r="N24" s="1243"/>
    </row>
    <row r="25" spans="1:14" ht="15">
      <c r="A25" s="1243"/>
      <c r="B25" s="1244"/>
      <c r="C25" s="1244"/>
      <c r="D25" s="1244"/>
      <c r="E25" s="1244"/>
      <c r="F25" s="1244"/>
      <c r="G25" s="1244"/>
      <c r="H25" s="1244"/>
      <c r="I25" s="1245"/>
      <c r="J25" s="1243"/>
      <c r="K25" s="1243"/>
      <c r="L25" s="1246"/>
      <c r="M25" s="1243"/>
      <c r="N25" s="1243"/>
    </row>
    <row r="26" spans="1:14" ht="15">
      <c r="A26" s="1243"/>
      <c r="B26" s="1244"/>
      <c r="C26" s="1244"/>
      <c r="D26" s="1244"/>
      <c r="E26" s="1244"/>
      <c r="F26" s="1244"/>
      <c r="G26" s="1244"/>
      <c r="H26" s="1244"/>
      <c r="I26" s="1245"/>
      <c r="J26" s="1243"/>
      <c r="K26" s="1243"/>
      <c r="L26" s="1246"/>
      <c r="M26" s="1243"/>
      <c r="N26" s="1243"/>
    </row>
    <row r="27" spans="1:14" ht="15">
      <c r="A27" s="1243"/>
      <c r="B27" s="1244"/>
      <c r="C27" s="1244"/>
      <c r="D27" s="1244"/>
      <c r="E27" s="1244"/>
      <c r="F27" s="1244"/>
      <c r="G27" s="1244"/>
      <c r="H27" s="1244"/>
      <c r="I27" s="1245"/>
      <c r="J27" s="1243"/>
      <c r="K27" s="1243"/>
      <c r="L27" s="1246"/>
      <c r="M27" s="1243"/>
      <c r="N27" s="1243"/>
    </row>
    <row r="28" spans="1:14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</sheetData>
  <sheetProtection/>
  <mergeCells count="14">
    <mergeCell ref="B22:H22"/>
    <mergeCell ref="B23:H23"/>
    <mergeCell ref="A13:A19"/>
    <mergeCell ref="J13:K13"/>
    <mergeCell ref="B20:H20"/>
    <mergeCell ref="B21:H21"/>
    <mergeCell ref="M15:N15"/>
    <mergeCell ref="M13:N13"/>
    <mergeCell ref="J14:K14"/>
    <mergeCell ref="M14:N14"/>
    <mergeCell ref="L4:M4"/>
    <mergeCell ref="A6:N6"/>
    <mergeCell ref="A9:N9"/>
    <mergeCell ref="A10:N10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V1072"/>
  <sheetViews>
    <sheetView view="pageBreakPreview" zoomScaleNormal="75" zoomScaleSheetLayoutView="100" zoomScalePageLayoutView="0" workbookViewId="0" topLeftCell="A57">
      <selection activeCell="AA18" sqref="AA18"/>
    </sheetView>
  </sheetViews>
  <sheetFormatPr defaultColWidth="9.140625" defaultRowHeight="12.75"/>
  <cols>
    <col min="1" max="1" width="7.7109375" style="148" customWidth="1"/>
    <col min="2" max="5" width="9.140625" style="149" customWidth="1"/>
    <col min="6" max="6" width="8.140625" style="149" customWidth="1"/>
    <col min="7" max="7" width="7.00390625" style="149" customWidth="1"/>
    <col min="8" max="8" width="9.140625" style="149" customWidth="1"/>
    <col min="9" max="9" width="8.00390625" style="119" customWidth="1"/>
    <col min="10" max="10" width="9.421875" style="150" customWidth="1"/>
    <col min="11" max="11" width="9.28125" style="150" customWidth="1"/>
    <col min="12" max="12" width="9.7109375" style="256" customWidth="1"/>
    <col min="13" max="13" width="14.7109375" style="150" customWidth="1"/>
    <col min="14" max="14" width="18.7109375" style="150" bestFit="1" customWidth="1"/>
    <col min="15" max="16" width="0" style="150" hidden="1" customWidth="1"/>
    <col min="17" max="17" width="9.140625" style="150" customWidth="1"/>
    <col min="18" max="28" width="9.140625" style="2565" customWidth="1"/>
    <col min="29" max="16384" width="9.140625" style="150" customWidth="1"/>
  </cols>
  <sheetData>
    <row r="1" spans="10:14" ht="16.5">
      <c r="J1" s="320"/>
      <c r="L1" s="320" t="s">
        <v>393</v>
      </c>
      <c r="M1" s="1600"/>
      <c r="N1" s="320"/>
    </row>
    <row r="2" spans="10:14" ht="16.5">
      <c r="J2" s="320"/>
      <c r="L2" s="1600"/>
      <c r="M2" s="320"/>
      <c r="N2" s="1601" t="str">
        <f>'прейск-т'!O5</f>
        <v>Главный врач Слонимской ЦРБ</v>
      </c>
    </row>
    <row r="3" spans="10:14" ht="16.5">
      <c r="J3" s="320"/>
      <c r="L3" s="1600"/>
      <c r="M3" s="320"/>
      <c r="N3" s="1601" t="str">
        <f>'прейск-т'!O6</f>
        <v>Г.М. Моисеенкова</v>
      </c>
    </row>
    <row r="4" spans="10:14" ht="16.5">
      <c r="J4" s="1602"/>
      <c r="L4" s="1603">
        <f>'прейск-т'!M7</f>
        <v>1</v>
      </c>
      <c r="M4" s="320" t="str">
        <f>'прейск-т'!N7</f>
        <v>июля</v>
      </c>
      <c r="N4" s="320" t="str">
        <f>'прейск-т'!O7</f>
        <v>2017 г.</v>
      </c>
    </row>
    <row r="5" spans="12:14" ht="15">
      <c r="L5" s="151"/>
      <c r="M5" s="152"/>
      <c r="N5" s="151"/>
    </row>
    <row r="6" spans="1:28" s="154" customFormat="1" ht="27" customHeight="1" hidden="1">
      <c r="A6" s="2247" t="s">
        <v>438</v>
      </c>
      <c r="B6" s="2247"/>
      <c r="C6" s="2247"/>
      <c r="D6" s="2247"/>
      <c r="E6" s="2247"/>
      <c r="F6" s="2247"/>
      <c r="G6" s="2247"/>
      <c r="H6" s="2247"/>
      <c r="I6" s="2247"/>
      <c r="J6" s="2247"/>
      <c r="K6" s="2247"/>
      <c r="L6" s="2247"/>
      <c r="M6" s="2247"/>
      <c r="N6" s="2247"/>
      <c r="R6" s="2565"/>
      <c r="S6" s="2565"/>
      <c r="T6" s="2565"/>
      <c r="U6" s="2565"/>
      <c r="V6" s="2565"/>
      <c r="W6" s="2565"/>
      <c r="X6" s="2565"/>
      <c r="Y6" s="2565"/>
      <c r="Z6" s="2565"/>
      <c r="AA6" s="2565"/>
      <c r="AB6" s="2565"/>
    </row>
    <row r="7" spans="1:28" s="157" customFormat="1" ht="12" customHeight="1" hidden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6"/>
      <c r="M7" s="155"/>
      <c r="N7" s="155"/>
      <c r="R7" s="2570"/>
      <c r="S7" s="2570"/>
      <c r="T7" s="2570"/>
      <c r="U7" s="2570"/>
      <c r="V7" s="2570"/>
      <c r="W7" s="2570"/>
      <c r="X7" s="2570"/>
      <c r="Y7" s="2570"/>
      <c r="Z7" s="2570"/>
      <c r="AA7" s="2570"/>
      <c r="AB7" s="2570"/>
    </row>
    <row r="8" spans="1:28" s="164" customFormat="1" ht="12" customHeight="1" hidden="1">
      <c r="A8" s="158"/>
      <c r="B8" s="159"/>
      <c r="C8" s="159"/>
      <c r="D8" s="159"/>
      <c r="E8" s="159"/>
      <c r="F8" s="159"/>
      <c r="G8" s="159"/>
      <c r="H8" s="159"/>
      <c r="I8" s="158"/>
      <c r="J8" s="160"/>
      <c r="K8" s="161"/>
      <c r="L8" s="162"/>
      <c r="M8" s="159"/>
      <c r="N8" s="163"/>
      <c r="R8" s="2570"/>
      <c r="S8" s="2570"/>
      <c r="T8" s="2570"/>
      <c r="U8" s="2570"/>
      <c r="V8" s="2570"/>
      <c r="W8" s="2570"/>
      <c r="X8" s="2570"/>
      <c r="Y8" s="2570"/>
      <c r="Z8" s="2570"/>
      <c r="AA8" s="2570"/>
      <c r="AB8" s="2570"/>
    </row>
    <row r="9" spans="1:28" s="165" customFormat="1" ht="15.75" customHeight="1">
      <c r="A9" s="2274" t="s">
        <v>439</v>
      </c>
      <c r="B9" s="2274"/>
      <c r="C9" s="2274"/>
      <c r="D9" s="2274"/>
      <c r="E9" s="2274"/>
      <c r="F9" s="2274"/>
      <c r="G9" s="2274"/>
      <c r="H9" s="2274"/>
      <c r="I9" s="2274"/>
      <c r="J9" s="2274"/>
      <c r="K9" s="2274"/>
      <c r="L9" s="2274"/>
      <c r="M9" s="2274"/>
      <c r="N9" s="2274"/>
      <c r="O9" s="2274"/>
      <c r="P9" s="2274"/>
      <c r="R9" s="2575"/>
      <c r="S9" s="2575"/>
      <c r="T9" s="2575"/>
      <c r="U9" s="2575"/>
      <c r="V9" s="2575"/>
      <c r="W9" s="2575"/>
      <c r="X9" s="2575"/>
      <c r="Y9" s="2575"/>
      <c r="Z9" s="2575"/>
      <c r="AA9" s="2575"/>
      <c r="AB9" s="2575"/>
    </row>
    <row r="10" spans="1:28" s="165" customFormat="1" ht="15.75" customHeight="1">
      <c r="A10" s="2274" t="s">
        <v>922</v>
      </c>
      <c r="B10" s="2274"/>
      <c r="C10" s="2274"/>
      <c r="D10" s="2274"/>
      <c r="E10" s="2274"/>
      <c r="F10" s="2274"/>
      <c r="G10" s="2274"/>
      <c r="H10" s="2274"/>
      <c r="I10" s="2274"/>
      <c r="J10" s="2274"/>
      <c r="K10" s="2274"/>
      <c r="L10" s="2274"/>
      <c r="M10" s="2274"/>
      <c r="N10" s="2274"/>
      <c r="O10" s="2274"/>
      <c r="P10" s="2274"/>
      <c r="R10" s="2575"/>
      <c r="S10" s="2575"/>
      <c r="T10" s="2575"/>
      <c r="U10" s="2575"/>
      <c r="V10" s="2575"/>
      <c r="W10" s="2575"/>
      <c r="X10" s="2575"/>
      <c r="Y10" s="2575"/>
      <c r="Z10" s="2575"/>
      <c r="AA10" s="2575"/>
      <c r="AB10" s="2575"/>
    </row>
    <row r="11" spans="1:28" s="165" customFormat="1" ht="15.75" hidden="1">
      <c r="A11" s="166"/>
      <c r="B11" s="167"/>
      <c r="C11" s="167"/>
      <c r="D11" s="167"/>
      <c r="E11" s="167"/>
      <c r="F11" s="167"/>
      <c r="G11" s="168"/>
      <c r="H11" s="167"/>
      <c r="I11" s="169"/>
      <c r="L11" s="170"/>
      <c r="R11" s="2575"/>
      <c r="S11" s="2575"/>
      <c r="T11" s="2575"/>
      <c r="U11" s="2575"/>
      <c r="V11" s="2575"/>
      <c r="W11" s="2575"/>
      <c r="X11" s="2575"/>
      <c r="Y11" s="2575"/>
      <c r="Z11" s="2575"/>
      <c r="AA11" s="2575"/>
      <c r="AB11" s="2575"/>
    </row>
    <row r="12" spans="1:28" s="177" customFormat="1" ht="15">
      <c r="A12" s="171"/>
      <c r="B12" s="172" t="str">
        <f>'прейск-т'!C1313</f>
        <v>вводится с </v>
      </c>
      <c r="C12" s="173" t="str">
        <f>'прейск-т'!D13</f>
        <v>01.07.2017г.</v>
      </c>
      <c r="D12" s="173"/>
      <c r="E12" s="174"/>
      <c r="F12" s="174"/>
      <c r="G12" s="175"/>
      <c r="H12" s="174"/>
      <c r="I12" s="176"/>
      <c r="L12" s="178"/>
      <c r="R12" s="2563"/>
      <c r="S12" s="2563"/>
      <c r="T12" s="2563"/>
      <c r="U12" s="2563"/>
      <c r="V12" s="2563"/>
      <c r="W12" s="2563"/>
      <c r="X12" s="2563"/>
      <c r="Y12" s="2563"/>
      <c r="Z12" s="2563"/>
      <c r="AA12" s="2563"/>
      <c r="AB12" s="2563"/>
    </row>
    <row r="13" spans="1:28" s="177" customFormat="1" ht="12.75" customHeight="1">
      <c r="A13" s="2268" t="s">
        <v>259</v>
      </c>
      <c r="B13" s="180"/>
      <c r="C13" s="180"/>
      <c r="D13" s="180"/>
      <c r="E13" s="181"/>
      <c r="F13" s="180"/>
      <c r="G13" s="180"/>
      <c r="H13" s="182"/>
      <c r="I13" s="183"/>
      <c r="J13" s="2253" t="s">
        <v>447</v>
      </c>
      <c r="K13" s="2254"/>
      <c r="L13" s="185" t="s">
        <v>923</v>
      </c>
      <c r="M13" s="2303" t="s">
        <v>443</v>
      </c>
      <c r="N13" s="2345"/>
      <c r="O13" s="2345"/>
      <c r="P13" s="2346"/>
      <c r="R13" s="2562"/>
      <c r="S13" s="2562"/>
      <c r="T13" s="2563"/>
      <c r="U13" s="2563"/>
      <c r="V13" s="2562" t="s">
        <v>18</v>
      </c>
      <c r="W13" s="2562"/>
      <c r="X13" s="2562" t="s">
        <v>324</v>
      </c>
      <c r="Y13" s="2562"/>
      <c r="Z13" s="2562" t="s">
        <v>323</v>
      </c>
      <c r="AA13" s="2562"/>
      <c r="AB13" s="2563"/>
    </row>
    <row r="14" spans="1:28" s="177" customFormat="1" ht="15.75" customHeight="1">
      <c r="A14" s="2269"/>
      <c r="B14" s="174"/>
      <c r="C14" s="174"/>
      <c r="D14" s="174"/>
      <c r="E14" s="174"/>
      <c r="F14" s="174"/>
      <c r="G14" s="174"/>
      <c r="H14" s="188"/>
      <c r="I14" s="189"/>
      <c r="J14" s="2242"/>
      <c r="K14" s="2243"/>
      <c r="L14" s="191" t="s">
        <v>924</v>
      </c>
      <c r="M14" s="2306" t="s">
        <v>233</v>
      </c>
      <c r="N14" s="2343"/>
      <c r="O14" s="2343"/>
      <c r="P14" s="2344"/>
      <c r="R14" s="2562"/>
      <c r="S14" s="2562"/>
      <c r="T14" s="2563"/>
      <c r="U14" s="2563"/>
      <c r="V14" s="2562"/>
      <c r="W14" s="2562"/>
      <c r="X14" s="2562"/>
      <c r="Y14" s="2562"/>
      <c r="Z14" s="2562"/>
      <c r="AA14" s="2562"/>
      <c r="AB14" s="2563"/>
    </row>
    <row r="15" spans="1:28" s="177" customFormat="1" ht="12" customHeight="1">
      <c r="A15" s="2269"/>
      <c r="B15" s="174"/>
      <c r="C15" s="174"/>
      <c r="D15" s="174"/>
      <c r="E15" s="148" t="s">
        <v>445</v>
      </c>
      <c r="F15" s="174"/>
      <c r="G15" s="174"/>
      <c r="H15" s="188"/>
      <c r="I15" s="189" t="s">
        <v>844</v>
      </c>
      <c r="J15" s="184" t="s">
        <v>926</v>
      </c>
      <c r="K15" s="179" t="s">
        <v>927</v>
      </c>
      <c r="L15" s="191" t="s">
        <v>448</v>
      </c>
      <c r="M15" s="2341"/>
      <c r="N15" s="2342"/>
      <c r="O15" s="2341" t="s">
        <v>510</v>
      </c>
      <c r="P15" s="2342"/>
      <c r="R15" s="2556"/>
      <c r="S15" s="2556"/>
      <c r="T15" s="2563"/>
      <c r="U15" s="2563"/>
      <c r="V15" s="2556" t="s">
        <v>926</v>
      </c>
      <c r="W15" s="2556" t="s">
        <v>927</v>
      </c>
      <c r="X15" s="2556" t="s">
        <v>926</v>
      </c>
      <c r="Y15" s="2556" t="s">
        <v>927</v>
      </c>
      <c r="Z15" s="2556" t="s">
        <v>926</v>
      </c>
      <c r="AA15" s="2556" t="s">
        <v>927</v>
      </c>
      <c r="AB15" s="2563"/>
    </row>
    <row r="16" spans="1:28" s="177" customFormat="1" ht="15.75">
      <c r="A16" s="2269"/>
      <c r="B16" s="148"/>
      <c r="C16" s="148"/>
      <c r="D16" s="148"/>
      <c r="E16" s="148"/>
      <c r="F16" s="174"/>
      <c r="G16" s="174"/>
      <c r="H16" s="189"/>
      <c r="I16" s="189" t="s">
        <v>928</v>
      </c>
      <c r="J16" s="194" t="s">
        <v>929</v>
      </c>
      <c r="K16" s="187" t="s">
        <v>930</v>
      </c>
      <c r="L16" s="191" t="s">
        <v>452</v>
      </c>
      <c r="M16" s="1564" t="s">
        <v>926</v>
      </c>
      <c r="N16" s="1561" t="s">
        <v>927</v>
      </c>
      <c r="O16" s="1560" t="s">
        <v>926</v>
      </c>
      <c r="P16" s="1564" t="s">
        <v>927</v>
      </c>
      <c r="R16" s="2556"/>
      <c r="S16" s="2556"/>
      <c r="T16" s="2564"/>
      <c r="U16" s="2563"/>
      <c r="V16" s="2556" t="s">
        <v>929</v>
      </c>
      <c r="W16" s="2556" t="s">
        <v>930</v>
      </c>
      <c r="X16" s="2556" t="s">
        <v>929</v>
      </c>
      <c r="Y16" s="2556" t="s">
        <v>930</v>
      </c>
      <c r="Z16" s="2556" t="s">
        <v>929</v>
      </c>
      <c r="AA16" s="2556" t="s">
        <v>930</v>
      </c>
      <c r="AB16" s="2563"/>
    </row>
    <row r="17" spans="1:28" s="201" customFormat="1" ht="15.75">
      <c r="A17" s="2269"/>
      <c r="B17" s="174"/>
      <c r="C17" s="174"/>
      <c r="D17" s="174"/>
      <c r="E17" s="174"/>
      <c r="F17" s="174"/>
      <c r="G17" s="148"/>
      <c r="H17" s="189"/>
      <c r="I17" s="189" t="s">
        <v>931</v>
      </c>
      <c r="J17" s="194"/>
      <c r="K17" s="187" t="s">
        <v>932</v>
      </c>
      <c r="L17" s="199"/>
      <c r="M17" s="1565" t="s">
        <v>929</v>
      </c>
      <c r="N17" s="169" t="s">
        <v>930</v>
      </c>
      <c r="O17" s="1566" t="s">
        <v>929</v>
      </c>
      <c r="P17" s="1565" t="s">
        <v>930</v>
      </c>
      <c r="R17" s="2556"/>
      <c r="S17" s="2556"/>
      <c r="T17" s="2564"/>
      <c r="U17" s="2576"/>
      <c r="V17" s="2556"/>
      <c r="W17" s="2556" t="s">
        <v>932</v>
      </c>
      <c r="X17" s="2556"/>
      <c r="Y17" s="2556" t="s">
        <v>932</v>
      </c>
      <c r="Z17" s="2556"/>
      <c r="AA17" s="2556" t="s">
        <v>932</v>
      </c>
      <c r="AB17" s="2576"/>
    </row>
    <row r="18" spans="1:28" s="201" customFormat="1" ht="15.75">
      <c r="A18" s="2269"/>
      <c r="B18" s="174"/>
      <c r="C18" s="174"/>
      <c r="D18" s="174"/>
      <c r="E18" s="174"/>
      <c r="F18" s="174"/>
      <c r="G18" s="148"/>
      <c r="H18" s="189"/>
      <c r="I18" s="189"/>
      <c r="J18" s="194"/>
      <c r="K18" s="187"/>
      <c r="L18" s="199"/>
      <c r="M18" s="1565"/>
      <c r="N18" s="169" t="s">
        <v>932</v>
      </c>
      <c r="O18" s="1566"/>
      <c r="P18" s="1565" t="s">
        <v>932</v>
      </c>
      <c r="R18" s="2556"/>
      <c r="S18" s="2556"/>
      <c r="T18" s="2564"/>
      <c r="U18" s="2576"/>
      <c r="V18" s="2556"/>
      <c r="W18" s="2556"/>
      <c r="X18" s="2556"/>
      <c r="Y18" s="2556"/>
      <c r="Z18" s="2556"/>
      <c r="AA18" s="2556"/>
      <c r="AB18" s="2576"/>
    </row>
    <row r="19" spans="1:28" s="201" customFormat="1" ht="15.75">
      <c r="A19" s="2270"/>
      <c r="B19" s="202"/>
      <c r="C19" s="202"/>
      <c r="D19" s="202"/>
      <c r="E19" s="202"/>
      <c r="F19" s="202"/>
      <c r="G19" s="202"/>
      <c r="H19" s="203"/>
      <c r="I19" s="125"/>
      <c r="J19" s="190" t="s">
        <v>933</v>
      </c>
      <c r="K19" s="124" t="s">
        <v>457</v>
      </c>
      <c r="L19" s="204" t="s">
        <v>457</v>
      </c>
      <c r="M19" s="1567" t="s">
        <v>457</v>
      </c>
      <c r="N19" s="1563" t="s">
        <v>457</v>
      </c>
      <c r="O19" s="1562" t="s">
        <v>457</v>
      </c>
      <c r="P19" s="1567" t="s">
        <v>457</v>
      </c>
      <c r="R19" s="2556"/>
      <c r="S19" s="2556"/>
      <c r="T19" s="2564"/>
      <c r="U19" s="2576"/>
      <c r="V19" s="2556" t="s">
        <v>933</v>
      </c>
      <c r="W19" s="2556" t="s">
        <v>457</v>
      </c>
      <c r="X19" s="2556" t="s">
        <v>933</v>
      </c>
      <c r="Y19" s="2556" t="s">
        <v>457</v>
      </c>
      <c r="Z19" s="2556" t="s">
        <v>933</v>
      </c>
      <c r="AA19" s="2556" t="s">
        <v>457</v>
      </c>
      <c r="AB19" s="2576"/>
    </row>
    <row r="20" spans="1:28" s="151" customFormat="1" ht="17.25">
      <c r="A20" s="206"/>
      <c r="B20" s="1604" t="s">
        <v>934</v>
      </c>
      <c r="C20" s="310"/>
      <c r="D20" s="310"/>
      <c r="E20" s="310"/>
      <c r="F20" s="310"/>
      <c r="G20" s="310"/>
      <c r="H20" s="311"/>
      <c r="I20" s="209"/>
      <c r="J20" s="210"/>
      <c r="K20" s="211"/>
      <c r="L20" s="212"/>
      <c r="M20" s="213"/>
      <c r="N20" s="207"/>
      <c r="O20" s="521"/>
      <c r="P20" s="948"/>
      <c r="R20" s="2569"/>
      <c r="S20" s="2569"/>
      <c r="T20" s="2569"/>
      <c r="U20" s="2569"/>
      <c r="V20" s="2569"/>
      <c r="W20" s="2569"/>
      <c r="X20" s="2569"/>
      <c r="Y20" s="2569"/>
      <c r="Z20" s="2569"/>
      <c r="AA20" s="2569"/>
      <c r="AB20" s="2569"/>
    </row>
    <row r="21" spans="1:16" ht="17.25">
      <c r="A21" s="214">
        <v>1</v>
      </c>
      <c r="B21" s="1605" t="s">
        <v>935</v>
      </c>
      <c r="C21" s="1606"/>
      <c r="D21" s="1606"/>
      <c r="E21" s="1606"/>
      <c r="F21" s="1606"/>
      <c r="G21" s="310"/>
      <c r="H21" s="318"/>
      <c r="I21" s="216"/>
      <c r="J21" s="217"/>
      <c r="K21" s="121"/>
      <c r="L21" s="1287"/>
      <c r="M21" s="213"/>
      <c r="N21" s="149"/>
      <c r="O21" s="522"/>
      <c r="P21" s="123"/>
    </row>
    <row r="22" spans="1:16" ht="19.5" customHeight="1">
      <c r="A22" s="220" t="s">
        <v>216</v>
      </c>
      <c r="B22" s="2258" t="s">
        <v>512</v>
      </c>
      <c r="C22" s="2259"/>
      <c r="D22" s="2259"/>
      <c r="E22" s="2259"/>
      <c r="F22" s="2259"/>
      <c r="G22" s="2259"/>
      <c r="H22" s="2260"/>
      <c r="I22" s="216"/>
      <c r="J22" s="217"/>
      <c r="K22" s="121"/>
      <c r="L22" s="1287"/>
      <c r="M22" s="213"/>
      <c r="N22" s="149"/>
      <c r="O22" s="522"/>
      <c r="P22" s="123"/>
    </row>
    <row r="23" spans="1:27" ht="19.5" customHeight="1">
      <c r="A23" s="221"/>
      <c r="B23" s="2258"/>
      <c r="C23" s="2259"/>
      <c r="D23" s="2259"/>
      <c r="E23" s="2259"/>
      <c r="F23" s="2259"/>
      <c r="G23" s="2259"/>
      <c r="H23" s="2260"/>
      <c r="I23" s="216" t="s">
        <v>937</v>
      </c>
      <c r="J23" s="1628">
        <f>4700/10000</f>
        <v>0.47</v>
      </c>
      <c r="K23" s="1629">
        <f>J23</f>
        <v>0.47</v>
      </c>
      <c r="L23" s="1659">
        <v>0</v>
      </c>
      <c r="M23" s="1595">
        <f>J23+L23</f>
        <v>0.47</v>
      </c>
      <c r="N23" s="1654">
        <f>K23+L23</f>
        <v>0.47</v>
      </c>
      <c r="O23" s="1591">
        <f>M23/10000</f>
        <v>4.7E-05</v>
      </c>
      <c r="P23" s="1592">
        <f>N23/10000</f>
        <v>4.7E-05</v>
      </c>
      <c r="Q23" s="482"/>
      <c r="R23" s="2555"/>
      <c r="S23" s="2555"/>
      <c r="T23" s="2568">
        <f>V23*1.2</f>
        <v>4680</v>
      </c>
      <c r="U23" s="2568">
        <f>W23*1.2</f>
        <v>4680</v>
      </c>
      <c r="V23" s="2555">
        <v>3900</v>
      </c>
      <c r="W23" s="2555">
        <v>3900</v>
      </c>
      <c r="X23" s="2567">
        <f>Z23*1.15</f>
        <v>1207.5</v>
      </c>
      <c r="Y23" s="2567">
        <f>AA23*1.15</f>
        <v>1207.5</v>
      </c>
      <c r="Z23" s="2555">
        <v>1050</v>
      </c>
      <c r="AA23" s="2555">
        <v>1050</v>
      </c>
    </row>
    <row r="24" spans="1:27" ht="11.25" customHeight="1">
      <c r="A24" s="221"/>
      <c r="B24" s="2258"/>
      <c r="C24" s="2259"/>
      <c r="D24" s="2259"/>
      <c r="E24" s="2259"/>
      <c r="F24" s="2259"/>
      <c r="G24" s="2259"/>
      <c r="H24" s="2260"/>
      <c r="I24" s="216" t="s">
        <v>938</v>
      </c>
      <c r="J24" s="1631"/>
      <c r="K24" s="1632"/>
      <c r="L24" s="1659"/>
      <c r="M24" s="1595"/>
      <c r="N24" s="1656"/>
      <c r="O24" s="1580"/>
      <c r="P24" s="1314"/>
      <c r="R24" s="2555"/>
      <c r="S24" s="2555"/>
      <c r="V24" s="2555"/>
      <c r="W24" s="2555"/>
      <c r="X24" s="2555"/>
      <c r="Y24" s="2555"/>
      <c r="Z24" s="2555"/>
      <c r="AA24" s="2555"/>
    </row>
    <row r="25" spans="1:27" ht="21.75" customHeight="1">
      <c r="A25" s="221" t="s">
        <v>260</v>
      </c>
      <c r="B25" s="2258" t="s">
        <v>939</v>
      </c>
      <c r="C25" s="2259"/>
      <c r="D25" s="2259"/>
      <c r="E25" s="2259"/>
      <c r="F25" s="2259"/>
      <c r="G25" s="2259"/>
      <c r="H25" s="2260"/>
      <c r="I25" s="216"/>
      <c r="J25" s="1631"/>
      <c r="K25" s="1632"/>
      <c r="L25" s="1659"/>
      <c r="M25" s="1595"/>
      <c r="N25" s="1656"/>
      <c r="O25" s="1580"/>
      <c r="P25" s="1314"/>
      <c r="R25" s="2555"/>
      <c r="S25" s="2555"/>
      <c r="V25" s="2555"/>
      <c r="W25" s="2555"/>
      <c r="X25" s="2555"/>
      <c r="Y25" s="2555"/>
      <c r="Z25" s="2555"/>
      <c r="AA25" s="2555"/>
    </row>
    <row r="26" spans="1:27" ht="30.75" customHeight="1">
      <c r="A26" s="221"/>
      <c r="B26" s="2258"/>
      <c r="C26" s="2259"/>
      <c r="D26" s="2259"/>
      <c r="E26" s="2259"/>
      <c r="F26" s="2259"/>
      <c r="G26" s="2259"/>
      <c r="H26" s="2260"/>
      <c r="I26" s="216" t="s">
        <v>873</v>
      </c>
      <c r="J26" s="1631">
        <f>2000/10000</f>
        <v>0.2</v>
      </c>
      <c r="K26" s="1632">
        <f>J26</f>
        <v>0.2</v>
      </c>
      <c r="L26" s="1659">
        <f>'[1]лаб.'!$J$9</f>
        <v>0.0954</v>
      </c>
      <c r="M26" s="1595">
        <f>J26+L26</f>
        <v>0.2954</v>
      </c>
      <c r="N26" s="1654">
        <f>K26+L26</f>
        <v>0.2954</v>
      </c>
      <c r="O26" s="1591">
        <f>M26/10000</f>
        <v>2.954E-05</v>
      </c>
      <c r="P26" s="1592">
        <f>N26/10000</f>
        <v>2.954E-05</v>
      </c>
      <c r="Q26" s="482"/>
      <c r="R26" s="2555"/>
      <c r="S26" s="2555"/>
      <c r="T26" s="2568">
        <f>V26*1.2</f>
        <v>2040</v>
      </c>
      <c r="U26" s="2568">
        <f>W26*1.2</f>
        <v>2040</v>
      </c>
      <c r="V26" s="2555">
        <v>1700</v>
      </c>
      <c r="W26" s="2555">
        <v>1700</v>
      </c>
      <c r="X26" s="2567">
        <f>Z26*1.15</f>
        <v>517.5</v>
      </c>
      <c r="Y26" s="2567">
        <f>AA26*1.15</f>
        <v>517.5</v>
      </c>
      <c r="Z26" s="2555">
        <v>450</v>
      </c>
      <c r="AA26" s="2555">
        <v>450</v>
      </c>
    </row>
    <row r="27" spans="1:27" ht="17.25">
      <c r="A27" s="221" t="s">
        <v>261</v>
      </c>
      <c r="B27" s="2258" t="s">
        <v>940</v>
      </c>
      <c r="C27" s="2259"/>
      <c r="D27" s="2259"/>
      <c r="E27" s="2259"/>
      <c r="F27" s="2259"/>
      <c r="G27" s="2259"/>
      <c r="H27" s="2260"/>
      <c r="I27" s="216"/>
      <c r="J27" s="1631"/>
      <c r="K27" s="1632"/>
      <c r="L27" s="1659"/>
      <c r="M27" s="1595"/>
      <c r="N27" s="1656"/>
      <c r="O27" s="1580"/>
      <c r="P27" s="1593"/>
      <c r="Q27" s="482"/>
      <c r="R27" s="2555"/>
      <c r="S27" s="2555"/>
      <c r="T27" s="2568"/>
      <c r="U27" s="2568"/>
      <c r="V27" s="2555"/>
      <c r="W27" s="2555"/>
      <c r="X27" s="2555"/>
      <c r="Y27" s="2555"/>
      <c r="Z27" s="2555"/>
      <c r="AA27" s="2555"/>
    </row>
    <row r="28" spans="1:27" ht="19.5">
      <c r="A28" s="221"/>
      <c r="B28" s="2258"/>
      <c r="C28" s="2259"/>
      <c r="D28" s="2259"/>
      <c r="E28" s="2259"/>
      <c r="F28" s="2259"/>
      <c r="G28" s="2259"/>
      <c r="H28" s="2260"/>
      <c r="I28" s="216" t="s">
        <v>873</v>
      </c>
      <c r="J28" s="1628">
        <f>4200/10000</f>
        <v>0.42</v>
      </c>
      <c r="K28" s="1629">
        <f>J28</f>
        <v>0.42</v>
      </c>
      <c r="L28" s="1659">
        <f>'[1]лаб.'!$J$14</f>
        <v>0.0954</v>
      </c>
      <c r="M28" s="1595">
        <f>J28+L28</f>
        <v>0.5154</v>
      </c>
      <c r="N28" s="1654">
        <f>K28+L28</f>
        <v>0.5154</v>
      </c>
      <c r="O28" s="1591">
        <f>M28/10000</f>
        <v>5.154E-05</v>
      </c>
      <c r="P28" s="1592">
        <f>N28/10000</f>
        <v>5.154E-05</v>
      </c>
      <c r="Q28" s="482"/>
      <c r="R28" s="2555"/>
      <c r="S28" s="2555"/>
      <c r="T28" s="2568">
        <f>V28*1.2</f>
        <v>4200</v>
      </c>
      <c r="U28" s="2568">
        <f>W28*1.2</f>
        <v>4200</v>
      </c>
      <c r="V28" s="2555">
        <v>3500</v>
      </c>
      <c r="W28" s="2555">
        <v>3500</v>
      </c>
      <c r="X28" s="2567">
        <f>Z28*1.15</f>
        <v>1035</v>
      </c>
      <c r="Y28" s="2567">
        <f>AA28*1.15</f>
        <v>1035</v>
      </c>
      <c r="Z28" s="2555">
        <v>900</v>
      </c>
      <c r="AA28" s="2555">
        <v>900</v>
      </c>
    </row>
    <row r="29" spans="1:27" ht="13.5" customHeight="1">
      <c r="A29" s="221"/>
      <c r="B29" s="2258"/>
      <c r="C29" s="2259"/>
      <c r="D29" s="2259"/>
      <c r="E29" s="2259"/>
      <c r="F29" s="2259"/>
      <c r="G29" s="2259"/>
      <c r="H29" s="2260"/>
      <c r="I29" s="216"/>
      <c r="J29" s="1631"/>
      <c r="K29" s="1632"/>
      <c r="L29" s="1659"/>
      <c r="M29" s="1595"/>
      <c r="N29" s="1654"/>
      <c r="O29" s="1580"/>
      <c r="P29" s="1593"/>
      <c r="Q29" s="482"/>
      <c r="R29" s="2555"/>
      <c r="S29" s="2555"/>
      <c r="T29" s="2568"/>
      <c r="U29" s="2568"/>
      <c r="V29" s="2555"/>
      <c r="W29" s="2555"/>
      <c r="X29" s="2555"/>
      <c r="Y29" s="2555"/>
      <c r="Z29" s="2555"/>
      <c r="AA29" s="2555"/>
    </row>
    <row r="30" spans="1:27" ht="19.5">
      <c r="A30" s="221" t="s">
        <v>223</v>
      </c>
      <c r="B30" s="310" t="s">
        <v>875</v>
      </c>
      <c r="C30" s="310"/>
      <c r="D30" s="310"/>
      <c r="E30" s="310"/>
      <c r="F30" s="310"/>
      <c r="G30" s="310"/>
      <c r="H30" s="318"/>
      <c r="I30" s="216" t="s">
        <v>873</v>
      </c>
      <c r="J30" s="1631">
        <f>5200/10000</f>
        <v>0.52</v>
      </c>
      <c r="K30" s="1632">
        <f>J30</f>
        <v>0.52</v>
      </c>
      <c r="L30" s="1659">
        <f>'[1]лаб.'!$J$19</f>
        <v>0.5331999999999999</v>
      </c>
      <c r="M30" s="1595">
        <f>J30+L30</f>
        <v>1.0532</v>
      </c>
      <c r="N30" s="1654">
        <f>K30+L30</f>
        <v>1.0532</v>
      </c>
      <c r="O30" s="1591">
        <f>M30/10000</f>
        <v>0.00010531999999999999</v>
      </c>
      <c r="P30" s="1592">
        <f>N30/10000</f>
        <v>0.00010531999999999999</v>
      </c>
      <c r="Q30" s="482"/>
      <c r="R30" s="2555"/>
      <c r="S30" s="2555"/>
      <c r="T30" s="2568">
        <f>V30*1.2</f>
        <v>5160</v>
      </c>
      <c r="U30" s="2568">
        <f>W30*1.2</f>
        <v>5160</v>
      </c>
      <c r="V30" s="2555">
        <v>4300</v>
      </c>
      <c r="W30" s="2555">
        <v>4300</v>
      </c>
      <c r="X30" s="2567">
        <f>Z30*1.15</f>
        <v>1322.5</v>
      </c>
      <c r="Y30" s="2567">
        <f>AA30*1.15</f>
        <v>1322.5</v>
      </c>
      <c r="Z30" s="2555">
        <v>1150</v>
      </c>
      <c r="AA30" s="2555">
        <v>1150</v>
      </c>
    </row>
    <row r="31" spans="1:27" ht="19.5">
      <c r="A31" s="221" t="s">
        <v>224</v>
      </c>
      <c r="B31" s="310" t="s">
        <v>941</v>
      </c>
      <c r="C31" s="310"/>
      <c r="D31" s="310"/>
      <c r="E31" s="310"/>
      <c r="F31" s="310"/>
      <c r="G31" s="310"/>
      <c r="H31" s="318"/>
      <c r="I31" s="216" t="s">
        <v>873</v>
      </c>
      <c r="J31" s="1631">
        <f>3100/10000</f>
        <v>0.31</v>
      </c>
      <c r="K31" s="1632">
        <f>J31</f>
        <v>0.31</v>
      </c>
      <c r="L31" s="1659">
        <f>'[1]лаб.'!$J$25</f>
        <v>0.0826</v>
      </c>
      <c r="M31" s="1595">
        <f>J31+L31</f>
        <v>0.3926</v>
      </c>
      <c r="N31" s="1654">
        <f>K31+L31</f>
        <v>0.3926</v>
      </c>
      <c r="O31" s="1591">
        <f>M31/10000</f>
        <v>3.926E-05</v>
      </c>
      <c r="P31" s="1592">
        <f>N31/10000</f>
        <v>3.926E-05</v>
      </c>
      <c r="Q31" s="482"/>
      <c r="R31" s="2555"/>
      <c r="S31" s="2555"/>
      <c r="T31" s="2568">
        <f>V31*1.2</f>
        <v>3120</v>
      </c>
      <c r="U31" s="2568">
        <f>W31*1.2</f>
        <v>3120</v>
      </c>
      <c r="V31" s="2555">
        <v>2600</v>
      </c>
      <c r="W31" s="2555">
        <v>2600</v>
      </c>
      <c r="X31" s="2567">
        <f>Z31*1.15</f>
        <v>804.9999999999999</v>
      </c>
      <c r="Y31" s="2567">
        <f>AA31*1.15</f>
        <v>804.9999999999999</v>
      </c>
      <c r="Z31" s="2555">
        <v>700</v>
      </c>
      <c r="AA31" s="2555">
        <v>700</v>
      </c>
    </row>
    <row r="32" spans="1:27" ht="17.25">
      <c r="A32" s="214">
        <v>2</v>
      </c>
      <c r="B32" s="1605" t="s">
        <v>942</v>
      </c>
      <c r="C32" s="310"/>
      <c r="D32" s="310"/>
      <c r="E32" s="310"/>
      <c r="F32" s="310"/>
      <c r="G32" s="310"/>
      <c r="H32" s="318"/>
      <c r="I32" s="223"/>
      <c r="J32" s="1631"/>
      <c r="K32" s="1632"/>
      <c r="L32" s="1630"/>
      <c r="M32" s="1584"/>
      <c r="N32" s="1586"/>
      <c r="O32" s="1580"/>
      <c r="P32" s="1314"/>
      <c r="R32" s="2555"/>
      <c r="S32" s="2555"/>
      <c r="V32" s="2555"/>
      <c r="W32" s="2555"/>
      <c r="X32" s="2555"/>
      <c r="Y32" s="2555"/>
      <c r="Z32" s="2555"/>
      <c r="AA32" s="2555"/>
    </row>
    <row r="33" spans="1:27" ht="17.25">
      <c r="A33" s="224">
        <v>2.1</v>
      </c>
      <c r="B33" s="1606" t="s">
        <v>943</v>
      </c>
      <c r="C33" s="1606"/>
      <c r="D33" s="1606"/>
      <c r="E33" s="310"/>
      <c r="F33" s="310"/>
      <c r="G33" s="310"/>
      <c r="H33" s="318"/>
      <c r="I33" s="223"/>
      <c r="J33" s="1631"/>
      <c r="K33" s="1632"/>
      <c r="L33" s="1630"/>
      <c r="M33" s="1584"/>
      <c r="N33" s="1586"/>
      <c r="O33" s="1580"/>
      <c r="P33" s="1314"/>
      <c r="R33" s="2555"/>
      <c r="S33" s="2555"/>
      <c r="V33" s="2555"/>
      <c r="W33" s="2555"/>
      <c r="X33" s="2555"/>
      <c r="Y33" s="2555"/>
      <c r="Z33" s="2555"/>
      <c r="AA33" s="2555"/>
    </row>
    <row r="34" spans="1:27" ht="17.25">
      <c r="A34" s="221" t="s">
        <v>274</v>
      </c>
      <c r="B34" s="2258" t="s">
        <v>944</v>
      </c>
      <c r="C34" s="2259"/>
      <c r="D34" s="2259"/>
      <c r="E34" s="2259"/>
      <c r="F34" s="2259"/>
      <c r="G34" s="2259"/>
      <c r="H34" s="2260"/>
      <c r="I34" s="223"/>
      <c r="J34" s="1631"/>
      <c r="K34" s="1632"/>
      <c r="L34" s="1630"/>
      <c r="M34" s="1584"/>
      <c r="N34" s="1586"/>
      <c r="O34" s="1580"/>
      <c r="P34" s="1314"/>
      <c r="R34" s="2555"/>
      <c r="S34" s="2555"/>
      <c r="V34" s="2555"/>
      <c r="W34" s="2555"/>
      <c r="X34" s="2555"/>
      <c r="Y34" s="2555"/>
      <c r="Z34" s="2555"/>
      <c r="AA34" s="2555"/>
    </row>
    <row r="35" spans="1:27" ht="16.5" customHeight="1">
      <c r="A35" s="221"/>
      <c r="B35" s="2258"/>
      <c r="C35" s="2259"/>
      <c r="D35" s="2259"/>
      <c r="E35" s="2259"/>
      <c r="F35" s="2259"/>
      <c r="G35" s="2259"/>
      <c r="H35" s="2260"/>
      <c r="I35" s="225" t="s">
        <v>945</v>
      </c>
      <c r="J35" s="1905">
        <f>1600/10000</f>
        <v>0.16</v>
      </c>
      <c r="K35" s="1906">
        <f>1600/10000</f>
        <v>0.16</v>
      </c>
      <c r="L35" s="1659">
        <f>'[1]лаб.'!$J$30</f>
        <v>0.05601</v>
      </c>
      <c r="M35" s="1595">
        <f aca="true" t="shared" si="0" ref="M35:M41">J35+L35</f>
        <v>0.21601</v>
      </c>
      <c r="N35" s="1654">
        <f aca="true" t="shared" si="1" ref="N35:N41">K35+L35</f>
        <v>0.21601</v>
      </c>
      <c r="O35" s="1591">
        <f aca="true" t="shared" si="2" ref="O35:O41">M35/10000</f>
        <v>2.1601000000000002E-05</v>
      </c>
      <c r="P35" s="1592">
        <f aca="true" t="shared" si="3" ref="P35:P41">N35/10000</f>
        <v>2.1601000000000002E-05</v>
      </c>
      <c r="Q35" s="482"/>
      <c r="R35" s="2555"/>
      <c r="S35" s="2555"/>
      <c r="T35" s="2568">
        <f aca="true" t="shared" si="4" ref="T35:T41">V35*1.2</f>
        <v>1560</v>
      </c>
      <c r="U35" s="2568">
        <f aca="true" t="shared" si="5" ref="U35:U41">W35*1.2</f>
        <v>1560</v>
      </c>
      <c r="V35" s="2555">
        <v>1300</v>
      </c>
      <c r="W35" s="2555">
        <v>1300</v>
      </c>
      <c r="X35" s="2567">
        <f aca="true" t="shared" si="6" ref="X35:X41">Z35*1.15</f>
        <v>402.49999999999994</v>
      </c>
      <c r="Y35" s="2567">
        <f aca="true" t="shared" si="7" ref="Y35:Y41">AA35*1.15</f>
        <v>402.49999999999994</v>
      </c>
      <c r="Z35" s="2555">
        <v>350</v>
      </c>
      <c r="AA35" s="2555">
        <v>350</v>
      </c>
    </row>
    <row r="36" spans="1:27" ht="19.5">
      <c r="A36" s="221" t="s">
        <v>273</v>
      </c>
      <c r="B36" s="310" t="s">
        <v>946</v>
      </c>
      <c r="C36" s="310"/>
      <c r="D36" s="310"/>
      <c r="E36" s="310"/>
      <c r="F36" s="310"/>
      <c r="G36" s="310"/>
      <c r="H36" s="318"/>
      <c r="I36" s="225" t="s">
        <v>945</v>
      </c>
      <c r="J36" s="1907">
        <f>2600/10000</f>
        <v>0.26</v>
      </c>
      <c r="K36" s="1908">
        <f>600/10000</f>
        <v>0.06</v>
      </c>
      <c r="L36" s="1659">
        <f>'[1]лаб.'!$J$34</f>
        <v>0.056209999999999996</v>
      </c>
      <c r="M36" s="1595">
        <f t="shared" si="0"/>
        <v>0.31621</v>
      </c>
      <c r="N36" s="1654">
        <f t="shared" si="1"/>
        <v>0.11621</v>
      </c>
      <c r="O36" s="1591">
        <f t="shared" si="2"/>
        <v>3.1621E-05</v>
      </c>
      <c r="P36" s="1592">
        <f t="shared" si="3"/>
        <v>1.1621E-05</v>
      </c>
      <c r="Q36" s="482"/>
      <c r="R36" s="2555"/>
      <c r="S36" s="2555"/>
      <c r="T36" s="2568">
        <f t="shared" si="4"/>
        <v>2640</v>
      </c>
      <c r="U36" s="2568">
        <f t="shared" si="5"/>
        <v>600</v>
      </c>
      <c r="V36" s="2555">
        <v>2200</v>
      </c>
      <c r="W36" s="2555">
        <v>500</v>
      </c>
      <c r="X36" s="2567">
        <f t="shared" si="6"/>
        <v>632.5</v>
      </c>
      <c r="Y36" s="2567">
        <f t="shared" si="7"/>
        <v>114.99999999999999</v>
      </c>
      <c r="Z36" s="2555">
        <v>550</v>
      </c>
      <c r="AA36" s="2555">
        <v>100</v>
      </c>
    </row>
    <row r="37" spans="1:27" ht="19.5">
      <c r="A37" s="221" t="s">
        <v>262</v>
      </c>
      <c r="B37" s="310" t="s">
        <v>947</v>
      </c>
      <c r="C37" s="310"/>
      <c r="D37" s="310"/>
      <c r="E37" s="310"/>
      <c r="F37" s="310"/>
      <c r="G37" s="310"/>
      <c r="H37" s="318"/>
      <c r="I37" s="225" t="s">
        <v>945</v>
      </c>
      <c r="J37" s="1905">
        <f>6700/10000</f>
        <v>0.67</v>
      </c>
      <c r="K37" s="1908">
        <f>4700/10000</f>
        <v>0.47</v>
      </c>
      <c r="L37" s="1659">
        <f>'[1]лаб.'!$J$37</f>
        <v>0.116095</v>
      </c>
      <c r="M37" s="1595">
        <f t="shared" si="0"/>
        <v>0.786095</v>
      </c>
      <c r="N37" s="1654">
        <f t="shared" si="1"/>
        <v>0.586095</v>
      </c>
      <c r="O37" s="1591">
        <f t="shared" si="2"/>
        <v>7.86095E-05</v>
      </c>
      <c r="P37" s="1592">
        <f t="shared" si="3"/>
        <v>5.86095E-05</v>
      </c>
      <c r="Q37" s="482"/>
      <c r="R37" s="2555"/>
      <c r="S37" s="2555"/>
      <c r="T37" s="2568">
        <f t="shared" si="4"/>
        <v>6720</v>
      </c>
      <c r="U37" s="2568">
        <f t="shared" si="5"/>
        <v>4680</v>
      </c>
      <c r="V37" s="2555">
        <v>5600</v>
      </c>
      <c r="W37" s="2555">
        <v>3900</v>
      </c>
      <c r="X37" s="2567">
        <f t="shared" si="6"/>
        <v>1724.9999999999998</v>
      </c>
      <c r="Y37" s="2567">
        <f t="shared" si="7"/>
        <v>1207.5</v>
      </c>
      <c r="Z37" s="2555">
        <v>1500</v>
      </c>
      <c r="AA37" s="2555">
        <v>1050</v>
      </c>
    </row>
    <row r="38" spans="1:27" ht="19.5">
      <c r="A38" s="221" t="s">
        <v>272</v>
      </c>
      <c r="B38" s="310" t="s">
        <v>948</v>
      </c>
      <c r="C38" s="310"/>
      <c r="D38" s="310"/>
      <c r="E38" s="310"/>
      <c r="F38" s="310"/>
      <c r="G38" s="310"/>
      <c r="H38" s="318"/>
      <c r="I38" s="225" t="s">
        <v>945</v>
      </c>
      <c r="J38" s="1907">
        <f>2600/10000</f>
        <v>0.26</v>
      </c>
      <c r="K38" s="1908">
        <f>600/10000</f>
        <v>0.06</v>
      </c>
      <c r="L38" s="1659">
        <f>'[1]лаб.'!$J$40</f>
        <v>0.045937</v>
      </c>
      <c r="M38" s="1595">
        <f t="shared" si="0"/>
        <v>0.305937</v>
      </c>
      <c r="N38" s="1654">
        <f t="shared" si="1"/>
        <v>0.105937</v>
      </c>
      <c r="O38" s="1591">
        <f t="shared" si="2"/>
        <v>3.05937E-05</v>
      </c>
      <c r="P38" s="1592">
        <f t="shared" si="3"/>
        <v>1.05937E-05</v>
      </c>
      <c r="Q38" s="482"/>
      <c r="R38" s="2555"/>
      <c r="S38" s="2555"/>
      <c r="T38" s="2568">
        <f t="shared" si="4"/>
        <v>2640</v>
      </c>
      <c r="U38" s="2568">
        <f t="shared" si="5"/>
        <v>600</v>
      </c>
      <c r="V38" s="2555">
        <v>2200</v>
      </c>
      <c r="W38" s="2555">
        <v>500</v>
      </c>
      <c r="X38" s="2567">
        <f t="shared" si="6"/>
        <v>632.5</v>
      </c>
      <c r="Y38" s="2567">
        <f t="shared" si="7"/>
        <v>114.99999999999999</v>
      </c>
      <c r="Z38" s="2555">
        <v>550</v>
      </c>
      <c r="AA38" s="2555">
        <v>100</v>
      </c>
    </row>
    <row r="39" spans="1:27" ht="19.5">
      <c r="A39" s="221" t="s">
        <v>271</v>
      </c>
      <c r="B39" s="310" t="s">
        <v>949</v>
      </c>
      <c r="C39" s="310"/>
      <c r="D39" s="310"/>
      <c r="E39" s="310"/>
      <c r="F39" s="310"/>
      <c r="G39" s="310"/>
      <c r="H39" s="318"/>
      <c r="I39" s="225" t="s">
        <v>945</v>
      </c>
      <c r="J39" s="1907">
        <f>2600/10000</f>
        <v>0.26</v>
      </c>
      <c r="K39" s="1908">
        <f>600/10000</f>
        <v>0.06</v>
      </c>
      <c r="L39" s="1659">
        <f>'[1]лаб.'!$J$43</f>
        <v>0.16358199999999998</v>
      </c>
      <c r="M39" s="1595">
        <f t="shared" si="0"/>
        <v>0.423582</v>
      </c>
      <c r="N39" s="1654">
        <f t="shared" si="1"/>
        <v>0.22358199999999998</v>
      </c>
      <c r="O39" s="1591">
        <f t="shared" si="2"/>
        <v>4.2358200000000004E-05</v>
      </c>
      <c r="P39" s="1592">
        <f t="shared" si="3"/>
        <v>2.23582E-05</v>
      </c>
      <c r="Q39" s="482"/>
      <c r="R39" s="2555"/>
      <c r="S39" s="2555"/>
      <c r="T39" s="2568">
        <f t="shared" si="4"/>
        <v>2640</v>
      </c>
      <c r="U39" s="2568">
        <f t="shared" si="5"/>
        <v>600</v>
      </c>
      <c r="V39" s="2555">
        <v>2200</v>
      </c>
      <c r="W39" s="2555">
        <v>500</v>
      </c>
      <c r="X39" s="2567">
        <f t="shared" si="6"/>
        <v>632.5</v>
      </c>
      <c r="Y39" s="2567">
        <f t="shared" si="7"/>
        <v>114.99999999999999</v>
      </c>
      <c r="Z39" s="2555">
        <v>550</v>
      </c>
      <c r="AA39" s="2555">
        <v>100</v>
      </c>
    </row>
    <row r="40" spans="1:27" ht="19.5">
      <c r="A40" s="221" t="s">
        <v>270</v>
      </c>
      <c r="B40" s="310" t="s">
        <v>950</v>
      </c>
      <c r="C40" s="310"/>
      <c r="D40" s="310"/>
      <c r="E40" s="310"/>
      <c r="F40" s="310"/>
      <c r="G40" s="310"/>
      <c r="H40" s="318"/>
      <c r="I40" s="225" t="s">
        <v>945</v>
      </c>
      <c r="J40" s="1907">
        <f>2600/10000</f>
        <v>0.26</v>
      </c>
      <c r="K40" s="1908">
        <f>600/10000</f>
        <v>0.06</v>
      </c>
      <c r="L40" s="1659">
        <f>'[1]лаб.'!$J$46</f>
        <v>0.163267</v>
      </c>
      <c r="M40" s="1595">
        <f t="shared" si="0"/>
        <v>0.423267</v>
      </c>
      <c r="N40" s="1654">
        <f t="shared" si="1"/>
        <v>0.223267</v>
      </c>
      <c r="O40" s="1591">
        <f t="shared" si="2"/>
        <v>4.23267E-05</v>
      </c>
      <c r="P40" s="1592">
        <f t="shared" si="3"/>
        <v>2.23267E-05</v>
      </c>
      <c r="Q40" s="482"/>
      <c r="R40" s="2555"/>
      <c r="S40" s="2555"/>
      <c r="T40" s="2568">
        <f t="shared" si="4"/>
        <v>2640</v>
      </c>
      <c r="U40" s="2568">
        <f t="shared" si="5"/>
        <v>600</v>
      </c>
      <c r="V40" s="2555">
        <v>2200</v>
      </c>
      <c r="W40" s="2555">
        <v>500</v>
      </c>
      <c r="X40" s="2567">
        <f t="shared" si="6"/>
        <v>632.5</v>
      </c>
      <c r="Y40" s="2567">
        <f t="shared" si="7"/>
        <v>114.99999999999999</v>
      </c>
      <c r="Z40" s="2555">
        <v>550</v>
      </c>
      <c r="AA40" s="2555">
        <v>100</v>
      </c>
    </row>
    <row r="41" spans="1:27" ht="19.5">
      <c r="A41" s="221" t="s">
        <v>269</v>
      </c>
      <c r="B41" s="310" t="s">
        <v>951</v>
      </c>
      <c r="C41" s="310"/>
      <c r="D41" s="310"/>
      <c r="E41" s="310"/>
      <c r="F41" s="310"/>
      <c r="G41" s="310"/>
      <c r="H41" s="318"/>
      <c r="I41" s="225" t="s">
        <v>945</v>
      </c>
      <c r="J41" s="1907">
        <f>4200/10000</f>
        <v>0.42</v>
      </c>
      <c r="K41" s="1908">
        <f>2600/10000</f>
        <v>0.26</v>
      </c>
      <c r="L41" s="1909">
        <f>'[1]лаб.'!$J$49</f>
        <v>0.0574</v>
      </c>
      <c r="M41" s="1595">
        <f t="shared" si="0"/>
        <v>0.4774</v>
      </c>
      <c r="N41" s="1654">
        <f t="shared" si="1"/>
        <v>0.3174</v>
      </c>
      <c r="O41" s="1591">
        <f t="shared" si="2"/>
        <v>4.774E-05</v>
      </c>
      <c r="P41" s="1592">
        <f t="shared" si="3"/>
        <v>3.1740000000000004E-05</v>
      </c>
      <c r="Q41" s="482"/>
      <c r="R41" s="2555"/>
      <c r="S41" s="2555"/>
      <c r="T41" s="2568">
        <f t="shared" si="4"/>
        <v>4200</v>
      </c>
      <c r="U41" s="2568">
        <f t="shared" si="5"/>
        <v>2640</v>
      </c>
      <c r="V41" s="2555">
        <v>3500</v>
      </c>
      <c r="W41" s="2555">
        <v>2200</v>
      </c>
      <c r="X41" s="2567">
        <f t="shared" si="6"/>
        <v>1035</v>
      </c>
      <c r="Y41" s="2567">
        <f t="shared" si="7"/>
        <v>632.5</v>
      </c>
      <c r="Z41" s="2555">
        <v>900</v>
      </c>
      <c r="AA41" s="2555">
        <v>550</v>
      </c>
    </row>
    <row r="42" spans="1:27" ht="17.25">
      <c r="A42" s="224" t="s">
        <v>263</v>
      </c>
      <c r="B42" s="1606" t="s">
        <v>952</v>
      </c>
      <c r="C42" s="1606"/>
      <c r="D42" s="1606"/>
      <c r="E42" s="310"/>
      <c r="F42" s="310"/>
      <c r="G42" s="310"/>
      <c r="H42" s="318"/>
      <c r="I42" s="226"/>
      <c r="J42" s="1905"/>
      <c r="K42" s="1906"/>
      <c r="L42" s="1909"/>
      <c r="M42" s="1595"/>
      <c r="N42" s="1656"/>
      <c r="O42" s="1580"/>
      <c r="P42" s="1314"/>
      <c r="R42" s="2555"/>
      <c r="S42" s="2555"/>
      <c r="V42" s="2555"/>
      <c r="W42" s="2555"/>
      <c r="X42" s="2555"/>
      <c r="Y42" s="2555"/>
      <c r="Z42" s="2555"/>
      <c r="AA42" s="2555"/>
    </row>
    <row r="43" spans="1:27" ht="19.5">
      <c r="A43" s="221" t="s">
        <v>264</v>
      </c>
      <c r="B43" s="310" t="s">
        <v>953</v>
      </c>
      <c r="C43" s="310"/>
      <c r="D43" s="310"/>
      <c r="E43" s="310"/>
      <c r="F43" s="310"/>
      <c r="G43" s="310"/>
      <c r="H43" s="318"/>
      <c r="I43" s="225" t="s">
        <v>945</v>
      </c>
      <c r="J43" s="1905">
        <f>3100/10000</f>
        <v>0.31</v>
      </c>
      <c r="K43" s="1906">
        <f>3100/10000</f>
        <v>0.31</v>
      </c>
      <c r="L43" s="1909">
        <f>'[1]лаб.'!$J$54</f>
        <v>0</v>
      </c>
      <c r="M43" s="1595">
        <f>J43+L43</f>
        <v>0.31</v>
      </c>
      <c r="N43" s="1654">
        <f>K43+L43</f>
        <v>0.31</v>
      </c>
      <c r="O43" s="1591">
        <f>M43/10000</f>
        <v>3.1E-05</v>
      </c>
      <c r="P43" s="1592">
        <f>N43/10000</f>
        <v>3.1E-05</v>
      </c>
      <c r="Q43" s="482"/>
      <c r="R43" s="2555"/>
      <c r="S43" s="2555"/>
      <c r="T43" s="2568">
        <f>V43*1.2</f>
        <v>3120</v>
      </c>
      <c r="U43" s="2568">
        <f>W43*1.2</f>
        <v>3120</v>
      </c>
      <c r="V43" s="2555">
        <v>2600</v>
      </c>
      <c r="W43" s="2555">
        <v>2600</v>
      </c>
      <c r="X43" s="2567">
        <f>Z43*1.15</f>
        <v>804.9999999999999</v>
      </c>
      <c r="Y43" s="2567">
        <f>AA43*1.15</f>
        <v>804.9999999999999</v>
      </c>
      <c r="Z43" s="2555">
        <v>700</v>
      </c>
      <c r="AA43" s="2555">
        <v>700</v>
      </c>
    </row>
    <row r="44" spans="1:27" ht="19.5">
      <c r="A44" s="221" t="s">
        <v>265</v>
      </c>
      <c r="B44" s="310" t="s">
        <v>954</v>
      </c>
      <c r="C44" s="310"/>
      <c r="D44" s="310"/>
      <c r="E44" s="310"/>
      <c r="F44" s="310"/>
      <c r="G44" s="310"/>
      <c r="H44" s="318"/>
      <c r="I44" s="225" t="s">
        <v>945</v>
      </c>
      <c r="J44" s="1905">
        <f>28900/10000</f>
        <v>2.89</v>
      </c>
      <c r="K44" s="1906">
        <f>25800/10000</f>
        <v>2.58</v>
      </c>
      <c r="L44" s="1909">
        <f>'[1]лаб.'!$J$57</f>
        <v>0.01</v>
      </c>
      <c r="M44" s="1595">
        <f>J44+L44</f>
        <v>2.9</v>
      </c>
      <c r="N44" s="1654">
        <f>K44+L44</f>
        <v>2.59</v>
      </c>
      <c r="O44" s="1591">
        <f>M44/10000</f>
        <v>0.00029</v>
      </c>
      <c r="P44" s="1592">
        <f>N44/10000</f>
        <v>0.000259</v>
      </c>
      <c r="Q44" s="482"/>
      <c r="R44" s="2555"/>
      <c r="S44" s="2555"/>
      <c r="T44" s="2568">
        <f>V44*1.2</f>
        <v>28920</v>
      </c>
      <c r="U44" s="2568">
        <f>W44*1.2</f>
        <v>25800</v>
      </c>
      <c r="V44" s="2555">
        <v>24100</v>
      </c>
      <c r="W44" s="2555">
        <v>21500</v>
      </c>
      <c r="X44" s="2567">
        <f>Z44*1.15</f>
        <v>7359.999999999999</v>
      </c>
      <c r="Y44" s="2567">
        <f>AA44*1.15</f>
        <v>6554.999999999999</v>
      </c>
      <c r="Z44" s="2555">
        <v>6400</v>
      </c>
      <c r="AA44" s="2555">
        <v>5700</v>
      </c>
    </row>
    <row r="45" spans="1:27" ht="17.25">
      <c r="A45" s="214">
        <v>3</v>
      </c>
      <c r="B45" s="1605" t="s">
        <v>955</v>
      </c>
      <c r="C45" s="310"/>
      <c r="D45" s="310"/>
      <c r="E45" s="310"/>
      <c r="F45" s="310"/>
      <c r="G45" s="310"/>
      <c r="H45" s="318"/>
      <c r="I45" s="226"/>
      <c r="J45" s="1905"/>
      <c r="K45" s="1906"/>
      <c r="L45" s="1909"/>
      <c r="M45" s="1595"/>
      <c r="N45" s="1656"/>
      <c r="O45" s="1580"/>
      <c r="P45" s="1314"/>
      <c r="R45" s="2555"/>
      <c r="S45" s="2555"/>
      <c r="V45" s="2555"/>
      <c r="W45" s="2555"/>
      <c r="X45" s="2555"/>
      <c r="Y45" s="2555"/>
      <c r="Z45" s="2555"/>
      <c r="AA45" s="2555"/>
    </row>
    <row r="46" spans="1:27" ht="19.5">
      <c r="A46" s="221" t="s">
        <v>867</v>
      </c>
      <c r="B46" s="310" t="s">
        <v>956</v>
      </c>
      <c r="C46" s="310"/>
      <c r="D46" s="310"/>
      <c r="E46" s="310"/>
      <c r="F46" s="310"/>
      <c r="G46" s="310"/>
      <c r="H46" s="318"/>
      <c r="I46" s="225" t="s">
        <v>945</v>
      </c>
      <c r="J46" s="1907">
        <f>4200/10000</f>
        <v>0.42</v>
      </c>
      <c r="K46" s="1908">
        <f>2600/10000</f>
        <v>0.26</v>
      </c>
      <c r="L46" s="1909">
        <f>'[1]лаб.'!$J$61</f>
        <v>0.059199999999999996</v>
      </c>
      <c r="M46" s="1595">
        <f aca="true" t="shared" si="8" ref="M46:M51">J46+L46</f>
        <v>0.47919999999999996</v>
      </c>
      <c r="N46" s="1654">
        <f aca="true" t="shared" si="9" ref="N46:N51">K46+L46</f>
        <v>0.3192</v>
      </c>
      <c r="O46" s="1591">
        <f aca="true" t="shared" si="10" ref="O46:O51">M46/10000</f>
        <v>4.7919999999999995E-05</v>
      </c>
      <c r="P46" s="1592">
        <f aca="true" t="shared" si="11" ref="P46:P51">N46/10000</f>
        <v>3.192E-05</v>
      </c>
      <c r="Q46" s="482"/>
      <c r="R46" s="2555"/>
      <c r="S46" s="2555"/>
      <c r="T46" s="2568">
        <f aca="true" t="shared" si="12" ref="T46:T51">V46*1.2</f>
        <v>4200</v>
      </c>
      <c r="U46" s="2568">
        <f aca="true" t="shared" si="13" ref="U46:U51">W46*1.2</f>
        <v>2640</v>
      </c>
      <c r="V46" s="2555">
        <v>3500</v>
      </c>
      <c r="W46" s="2555">
        <v>2200</v>
      </c>
      <c r="X46" s="2567">
        <f aca="true" t="shared" si="14" ref="X46:X51">Z46*1.15</f>
        <v>1035</v>
      </c>
      <c r="Y46" s="2567">
        <f aca="true" t="shared" si="15" ref="Y46:Y51">AA46*1.15</f>
        <v>632.5</v>
      </c>
      <c r="Z46" s="2555">
        <v>900</v>
      </c>
      <c r="AA46" s="2555">
        <v>550</v>
      </c>
    </row>
    <row r="47" spans="1:27" ht="19.5">
      <c r="A47" s="221" t="s">
        <v>871</v>
      </c>
      <c r="B47" s="310" t="s">
        <v>957</v>
      </c>
      <c r="C47" s="310"/>
      <c r="D47" s="310"/>
      <c r="E47" s="310"/>
      <c r="F47" s="310"/>
      <c r="G47" s="310"/>
      <c r="H47" s="318"/>
      <c r="I47" s="225" t="s">
        <v>945</v>
      </c>
      <c r="J47" s="1907">
        <f>9800/10000</f>
        <v>0.98</v>
      </c>
      <c r="K47" s="1906">
        <f>7200/10000</f>
        <v>0.72</v>
      </c>
      <c r="L47" s="1909">
        <f>'[1]лаб.'!$J$64</f>
        <v>0.40800000000000003</v>
      </c>
      <c r="M47" s="1595">
        <f t="shared" si="8"/>
        <v>1.388</v>
      </c>
      <c r="N47" s="1654">
        <f t="shared" si="9"/>
        <v>1.1280000000000001</v>
      </c>
      <c r="O47" s="1591">
        <f t="shared" si="10"/>
        <v>0.00013879999999999999</v>
      </c>
      <c r="P47" s="1592">
        <f t="shared" si="11"/>
        <v>0.00011280000000000002</v>
      </c>
      <c r="Q47" s="482"/>
      <c r="R47" s="2555"/>
      <c r="S47" s="2555"/>
      <c r="T47" s="2568">
        <f t="shared" si="12"/>
        <v>9840</v>
      </c>
      <c r="U47" s="2568">
        <f t="shared" si="13"/>
        <v>7200</v>
      </c>
      <c r="V47" s="2555">
        <v>8200</v>
      </c>
      <c r="W47" s="2555">
        <v>6000</v>
      </c>
      <c r="X47" s="2567">
        <f t="shared" si="14"/>
        <v>2472.5</v>
      </c>
      <c r="Y47" s="2567">
        <f t="shared" si="15"/>
        <v>1839.9999999999998</v>
      </c>
      <c r="Z47" s="2555">
        <v>2150</v>
      </c>
      <c r="AA47" s="2555">
        <v>1600</v>
      </c>
    </row>
    <row r="48" spans="1:27" ht="19.5">
      <c r="A48" s="221" t="s">
        <v>876</v>
      </c>
      <c r="B48" s="310" t="s">
        <v>958</v>
      </c>
      <c r="C48" s="310"/>
      <c r="D48" s="310"/>
      <c r="E48" s="310"/>
      <c r="F48" s="310"/>
      <c r="G48" s="310"/>
      <c r="H48" s="318"/>
      <c r="I48" s="225" t="s">
        <v>945</v>
      </c>
      <c r="J48" s="1907">
        <f>14500/10000</f>
        <v>1.45</v>
      </c>
      <c r="K48" s="1908">
        <f>14500/10000</f>
        <v>1.45</v>
      </c>
      <c r="L48" s="1909">
        <f>'[1]лаб.'!$J$67</f>
        <v>0.22236999999999998</v>
      </c>
      <c r="M48" s="1595">
        <f t="shared" si="8"/>
        <v>1.67237</v>
      </c>
      <c r="N48" s="1654">
        <f t="shared" si="9"/>
        <v>1.67237</v>
      </c>
      <c r="O48" s="1591">
        <f t="shared" si="10"/>
        <v>0.00016723699999999998</v>
      </c>
      <c r="P48" s="1592">
        <f t="shared" si="11"/>
        <v>0.00016723699999999998</v>
      </c>
      <c r="Q48" s="482"/>
      <c r="R48" s="2555"/>
      <c r="S48" s="2555"/>
      <c r="T48" s="2568">
        <f t="shared" si="12"/>
        <v>14520</v>
      </c>
      <c r="U48" s="2568">
        <f t="shared" si="13"/>
        <v>14520</v>
      </c>
      <c r="V48" s="2555">
        <v>12100</v>
      </c>
      <c r="W48" s="2555">
        <v>12100</v>
      </c>
      <c r="X48" s="2567">
        <f t="shared" si="14"/>
        <v>3679.9999999999995</v>
      </c>
      <c r="Y48" s="2567">
        <f t="shared" si="15"/>
        <v>3679.9999999999995</v>
      </c>
      <c r="Z48" s="2555">
        <v>3200</v>
      </c>
      <c r="AA48" s="2555">
        <v>3200</v>
      </c>
    </row>
    <row r="49" spans="1:27" ht="19.5">
      <c r="A49" s="221" t="s">
        <v>266</v>
      </c>
      <c r="B49" s="310" t="s">
        <v>0</v>
      </c>
      <c r="C49" s="310"/>
      <c r="D49" s="310"/>
      <c r="E49" s="310"/>
      <c r="F49" s="310"/>
      <c r="G49" s="310"/>
      <c r="H49" s="318"/>
      <c r="I49" s="225" t="s">
        <v>945</v>
      </c>
      <c r="J49" s="1905">
        <f>18600/10000</f>
        <v>1.86</v>
      </c>
      <c r="K49" s="1908">
        <f>11400/10000</f>
        <v>1.14</v>
      </c>
      <c r="L49" s="1909">
        <f>'[1]лаб.'!$J$74</f>
        <v>0.12465999999999999</v>
      </c>
      <c r="M49" s="1595">
        <f t="shared" si="8"/>
        <v>1.98466</v>
      </c>
      <c r="N49" s="1654">
        <f t="shared" si="9"/>
        <v>1.26466</v>
      </c>
      <c r="O49" s="1591">
        <f t="shared" si="10"/>
        <v>0.000198466</v>
      </c>
      <c r="P49" s="1592">
        <f t="shared" si="11"/>
        <v>0.000126466</v>
      </c>
      <c r="Q49" s="482"/>
      <c r="R49" s="2555"/>
      <c r="S49" s="2555"/>
      <c r="T49" s="2568">
        <f t="shared" si="12"/>
        <v>18600</v>
      </c>
      <c r="U49" s="2568">
        <f t="shared" si="13"/>
        <v>11400</v>
      </c>
      <c r="V49" s="2555">
        <v>15500</v>
      </c>
      <c r="W49" s="2555">
        <v>9500</v>
      </c>
      <c r="X49" s="2567">
        <f t="shared" si="14"/>
        <v>4715</v>
      </c>
      <c r="Y49" s="2567">
        <f t="shared" si="15"/>
        <v>2875</v>
      </c>
      <c r="Z49" s="2555">
        <v>4100</v>
      </c>
      <c r="AA49" s="2555">
        <v>2500</v>
      </c>
    </row>
    <row r="50" spans="1:27" ht="19.5">
      <c r="A50" s="221" t="s">
        <v>882</v>
      </c>
      <c r="B50" s="310" t="s">
        <v>1</v>
      </c>
      <c r="C50" s="310"/>
      <c r="D50" s="310"/>
      <c r="E50" s="310"/>
      <c r="F50" s="310"/>
      <c r="G50" s="310"/>
      <c r="H50" s="318"/>
      <c r="I50" s="225" t="s">
        <v>945</v>
      </c>
      <c r="J50" s="1905">
        <f>2000/10000</f>
        <v>0.2</v>
      </c>
      <c r="K50" s="1906">
        <f>2000/10000</f>
        <v>0.2</v>
      </c>
      <c r="L50" s="1909">
        <f>'[1]лаб.'!$J$80</f>
        <v>0</v>
      </c>
      <c r="M50" s="1595">
        <f t="shared" si="8"/>
        <v>0.2</v>
      </c>
      <c r="N50" s="1654">
        <f t="shared" si="9"/>
        <v>0.2</v>
      </c>
      <c r="O50" s="1591">
        <f t="shared" si="10"/>
        <v>2E-05</v>
      </c>
      <c r="P50" s="1592">
        <f t="shared" si="11"/>
        <v>2E-05</v>
      </c>
      <c r="Q50" s="482"/>
      <c r="R50" s="2555"/>
      <c r="S50" s="2555"/>
      <c r="T50" s="2568">
        <f t="shared" si="12"/>
        <v>2040</v>
      </c>
      <c r="U50" s="2568">
        <f t="shared" si="13"/>
        <v>2040</v>
      </c>
      <c r="V50" s="2555">
        <v>1700</v>
      </c>
      <c r="W50" s="2555">
        <v>1700</v>
      </c>
      <c r="X50" s="2567">
        <f t="shared" si="14"/>
        <v>517.5</v>
      </c>
      <c r="Y50" s="2567">
        <f t="shared" si="15"/>
        <v>517.5</v>
      </c>
      <c r="Z50" s="2555">
        <v>450</v>
      </c>
      <c r="AA50" s="2555">
        <v>450</v>
      </c>
    </row>
    <row r="51" spans="1:27" ht="19.5">
      <c r="A51" s="221" t="s">
        <v>267</v>
      </c>
      <c r="B51" s="2258" t="s">
        <v>2</v>
      </c>
      <c r="C51" s="2259"/>
      <c r="D51" s="2259"/>
      <c r="E51" s="2259"/>
      <c r="F51" s="2259"/>
      <c r="G51" s="2259"/>
      <c r="H51" s="2260"/>
      <c r="I51" s="225" t="s">
        <v>945</v>
      </c>
      <c r="J51" s="1905">
        <f>6700/10000</f>
        <v>0.67</v>
      </c>
      <c r="K51" s="1906">
        <f>5200/10000</f>
        <v>0.52</v>
      </c>
      <c r="L51" s="1909">
        <f>'[1]лаб.'!$J$81</f>
        <v>0.388</v>
      </c>
      <c r="M51" s="1595">
        <f t="shared" si="8"/>
        <v>1.058</v>
      </c>
      <c r="N51" s="1654">
        <f t="shared" si="9"/>
        <v>0.908</v>
      </c>
      <c r="O51" s="1591">
        <f t="shared" si="10"/>
        <v>0.00010580000000000001</v>
      </c>
      <c r="P51" s="1592">
        <f t="shared" si="11"/>
        <v>9.08E-05</v>
      </c>
      <c r="Q51" s="482"/>
      <c r="R51" s="2555"/>
      <c r="S51" s="2555"/>
      <c r="T51" s="2568">
        <f t="shared" si="12"/>
        <v>6720</v>
      </c>
      <c r="U51" s="2568">
        <f t="shared" si="13"/>
        <v>5160</v>
      </c>
      <c r="V51" s="2555">
        <v>5600</v>
      </c>
      <c r="W51" s="2555">
        <v>4300</v>
      </c>
      <c r="X51" s="2567">
        <f t="shared" si="14"/>
        <v>1724.9999999999998</v>
      </c>
      <c r="Y51" s="2567">
        <f t="shared" si="15"/>
        <v>1322.5</v>
      </c>
      <c r="Z51" s="2555">
        <v>1500</v>
      </c>
      <c r="AA51" s="2555">
        <v>1150</v>
      </c>
    </row>
    <row r="52" spans="1:27" ht="12.75" customHeight="1">
      <c r="A52" s="221"/>
      <c r="B52" s="2258"/>
      <c r="C52" s="2259"/>
      <c r="D52" s="2259"/>
      <c r="E52" s="2259"/>
      <c r="F52" s="2259"/>
      <c r="G52" s="2259"/>
      <c r="H52" s="2260"/>
      <c r="I52" s="225"/>
      <c r="J52" s="1905"/>
      <c r="K52" s="1906"/>
      <c r="L52" s="1909"/>
      <c r="M52" s="1595"/>
      <c r="N52" s="1654"/>
      <c r="O52" s="1580"/>
      <c r="P52" s="1314"/>
      <c r="R52" s="2555"/>
      <c r="S52" s="2555"/>
      <c r="V52" s="2555"/>
      <c r="W52" s="2555"/>
      <c r="X52" s="2555"/>
      <c r="Y52" s="2555"/>
      <c r="Z52" s="2555"/>
      <c r="AA52" s="2555"/>
    </row>
    <row r="53" spans="1:27" ht="17.25">
      <c r="A53" s="221" t="s">
        <v>268</v>
      </c>
      <c r="B53" s="2258" t="s">
        <v>3</v>
      </c>
      <c r="C53" s="2259"/>
      <c r="D53" s="2259"/>
      <c r="E53" s="2259"/>
      <c r="F53" s="2259"/>
      <c r="G53" s="2259"/>
      <c r="H53" s="2260"/>
      <c r="I53" s="226"/>
      <c r="J53" s="1905"/>
      <c r="K53" s="1906"/>
      <c r="L53" s="1909"/>
      <c r="M53" s="1595"/>
      <c r="N53" s="1656"/>
      <c r="O53" s="1580"/>
      <c r="P53" s="1314"/>
      <c r="R53" s="2555"/>
      <c r="S53" s="2555"/>
      <c r="V53" s="2555"/>
      <c r="W53" s="2555"/>
      <c r="X53" s="2555"/>
      <c r="Y53" s="2555"/>
      <c r="Z53" s="2555"/>
      <c r="AA53" s="2555"/>
    </row>
    <row r="54" spans="1:27" ht="19.5">
      <c r="A54" s="187"/>
      <c r="B54" s="2258"/>
      <c r="C54" s="2259"/>
      <c r="D54" s="2259"/>
      <c r="E54" s="2259"/>
      <c r="F54" s="2259"/>
      <c r="G54" s="2259"/>
      <c r="H54" s="2260"/>
      <c r="I54" s="225" t="s">
        <v>945</v>
      </c>
      <c r="J54" s="1907">
        <f>13000/10000</f>
        <v>1.3</v>
      </c>
      <c r="K54" s="1906">
        <f>7200/10000</f>
        <v>0.72</v>
      </c>
      <c r="L54" s="1909">
        <f>'[1]лаб.'!$J$84</f>
        <v>0.11055999999999999</v>
      </c>
      <c r="M54" s="1595">
        <f>J54+L54</f>
        <v>1.41056</v>
      </c>
      <c r="N54" s="1654">
        <f>K54+L54</f>
        <v>0.83056</v>
      </c>
      <c r="O54" s="1591">
        <f>M54/10000</f>
        <v>0.000141056</v>
      </c>
      <c r="P54" s="1592">
        <f>N54/10000</f>
        <v>8.3056E-05</v>
      </c>
      <c r="Q54" s="482"/>
      <c r="R54" s="2555"/>
      <c r="S54" s="2555"/>
      <c r="T54" s="2568">
        <f>V54*1.2</f>
        <v>12960</v>
      </c>
      <c r="U54" s="2568">
        <f>W54*1.2</f>
        <v>7200</v>
      </c>
      <c r="V54" s="2555">
        <v>10800</v>
      </c>
      <c r="W54" s="2555">
        <v>6000</v>
      </c>
      <c r="X54" s="2567">
        <f>Z54*1.15</f>
        <v>3277.4999999999995</v>
      </c>
      <c r="Y54" s="2567">
        <f>AA54*1.15</f>
        <v>1839.9999999999998</v>
      </c>
      <c r="Z54" s="2555">
        <v>2850</v>
      </c>
      <c r="AA54" s="2555">
        <v>1600</v>
      </c>
    </row>
    <row r="55" spans="1:27" ht="17.25">
      <c r="A55" s="214">
        <v>5</v>
      </c>
      <c r="B55" s="1605" t="s">
        <v>4</v>
      </c>
      <c r="C55" s="310"/>
      <c r="D55" s="310"/>
      <c r="E55" s="310"/>
      <c r="F55" s="310"/>
      <c r="G55" s="310"/>
      <c r="H55" s="318"/>
      <c r="I55" s="226"/>
      <c r="J55" s="1910"/>
      <c r="K55" s="1911"/>
      <c r="L55" s="1909"/>
      <c r="M55" s="1595"/>
      <c r="N55" s="1656"/>
      <c r="O55" s="1580"/>
      <c r="P55" s="1314"/>
      <c r="R55" s="2555"/>
      <c r="S55" s="2555"/>
      <c r="V55" s="2555"/>
      <c r="W55" s="2555"/>
      <c r="X55" s="2555"/>
      <c r="Y55" s="2555"/>
      <c r="Z55" s="2555"/>
      <c r="AA55" s="2555"/>
    </row>
    <row r="56" spans="1:27" ht="19.5">
      <c r="A56" s="221" t="s">
        <v>275</v>
      </c>
      <c r="B56" s="310" t="s">
        <v>5</v>
      </c>
      <c r="C56" s="310"/>
      <c r="D56" s="310"/>
      <c r="E56" s="310"/>
      <c r="F56" s="310"/>
      <c r="G56" s="310"/>
      <c r="H56" s="318"/>
      <c r="I56" s="225" t="s">
        <v>945</v>
      </c>
      <c r="J56" s="1905">
        <f>5200/10000</f>
        <v>0.52</v>
      </c>
      <c r="K56" s="1908">
        <f>2600/10000</f>
        <v>0.26</v>
      </c>
      <c r="L56" s="1909">
        <f>'[1]лаб.'!$J$92</f>
        <v>0.18599000000000002</v>
      </c>
      <c r="M56" s="1596">
        <f>J56+L56</f>
        <v>0.70599</v>
      </c>
      <c r="N56" s="1654">
        <f>K56+L56</f>
        <v>0.44599</v>
      </c>
      <c r="O56" s="1591">
        <f>M56/10000</f>
        <v>7.0599E-05</v>
      </c>
      <c r="P56" s="1592">
        <f>N56/10000</f>
        <v>4.4599E-05</v>
      </c>
      <c r="Q56" s="482"/>
      <c r="R56" s="2555"/>
      <c r="S56" s="2555"/>
      <c r="T56" s="2568">
        <f>V56*1.2</f>
        <v>5160</v>
      </c>
      <c r="U56" s="2568">
        <f>W56*1.2</f>
        <v>2640</v>
      </c>
      <c r="V56" s="2555">
        <v>4300</v>
      </c>
      <c r="W56" s="2555">
        <v>2200</v>
      </c>
      <c r="X56" s="2567">
        <f>Z56*1.15</f>
        <v>1552.4999999999998</v>
      </c>
      <c r="Y56" s="2567">
        <f>AA56*1.15</f>
        <v>747.4999999999999</v>
      </c>
      <c r="Z56" s="2555">
        <v>1350</v>
      </c>
      <c r="AA56" s="2555">
        <v>650</v>
      </c>
    </row>
    <row r="57" spans="1:27" ht="14.25" customHeight="1">
      <c r="A57" s="221" t="s">
        <v>276</v>
      </c>
      <c r="B57" s="2258" t="s">
        <v>6</v>
      </c>
      <c r="C57" s="2259"/>
      <c r="D57" s="2259"/>
      <c r="E57" s="2259"/>
      <c r="F57" s="2259"/>
      <c r="G57" s="2259"/>
      <c r="H57" s="2260"/>
      <c r="I57" s="226"/>
      <c r="J57" s="1905"/>
      <c r="K57" s="1906"/>
      <c r="L57" s="1909"/>
      <c r="M57" s="1595"/>
      <c r="N57" s="1656"/>
      <c r="O57" s="1580"/>
      <c r="P57" s="1314"/>
      <c r="R57" s="2555"/>
      <c r="S57" s="2555"/>
      <c r="V57" s="2555"/>
      <c r="W57" s="2555"/>
      <c r="X57" s="2555"/>
      <c r="Y57" s="2555"/>
      <c r="Z57" s="2555"/>
      <c r="AA57" s="2555"/>
    </row>
    <row r="58" spans="1:27" ht="19.5">
      <c r="A58" s="221"/>
      <c r="B58" s="2258"/>
      <c r="C58" s="2259"/>
      <c r="D58" s="2259"/>
      <c r="E58" s="2259"/>
      <c r="F58" s="2259"/>
      <c r="G58" s="2259"/>
      <c r="H58" s="2260"/>
      <c r="I58" s="225" t="s">
        <v>945</v>
      </c>
      <c r="J58" s="1907">
        <f>7800/10000</f>
        <v>0.78</v>
      </c>
      <c r="K58" s="1628">
        <f>4200/10000</f>
        <v>0.42</v>
      </c>
      <c r="L58" s="1909">
        <f>'[1]лаб.'!$J$97</f>
        <v>0.48743</v>
      </c>
      <c r="M58" s="1595">
        <f>J58+L58</f>
        <v>1.26743</v>
      </c>
      <c r="N58" s="1654">
        <f>K58+L58</f>
        <v>0.90743</v>
      </c>
      <c r="O58" s="1591">
        <f>M58/10000</f>
        <v>0.00012674300000000002</v>
      </c>
      <c r="P58" s="1592">
        <f>N58/10000</f>
        <v>9.0743E-05</v>
      </c>
      <c r="Q58" s="482"/>
      <c r="R58" s="2555"/>
      <c r="S58" s="2555"/>
      <c r="T58" s="2568">
        <f>V58*1.2</f>
        <v>7800</v>
      </c>
      <c r="U58" s="2568">
        <f>W58*1.2</f>
        <v>4200</v>
      </c>
      <c r="V58" s="2555">
        <v>6500</v>
      </c>
      <c r="W58" s="2555">
        <v>3500</v>
      </c>
      <c r="X58" s="2567">
        <f>Z58*1.15</f>
        <v>1954.9999999999998</v>
      </c>
      <c r="Y58" s="2567">
        <f>AA58*1.15</f>
        <v>1092.5</v>
      </c>
      <c r="Z58" s="2555">
        <v>1700</v>
      </c>
      <c r="AA58" s="2555">
        <v>950</v>
      </c>
    </row>
    <row r="59" spans="1:27" ht="19.5">
      <c r="A59" s="221" t="s">
        <v>283</v>
      </c>
      <c r="B59" s="2258" t="s">
        <v>7</v>
      </c>
      <c r="C59" s="2259"/>
      <c r="D59" s="2259"/>
      <c r="E59" s="2259"/>
      <c r="F59" s="2259"/>
      <c r="G59" s="2259"/>
      <c r="H59" s="2260"/>
      <c r="I59" s="225" t="s">
        <v>945</v>
      </c>
      <c r="J59" s="1907">
        <f>9400/10000</f>
        <v>0.94</v>
      </c>
      <c r="K59" s="1908">
        <f>4700/10000</f>
        <v>0.47</v>
      </c>
      <c r="L59" s="1909">
        <f>'[1]лаб.'!$J$102</f>
        <v>0.24256</v>
      </c>
      <c r="M59" s="1596">
        <f>J59+L59</f>
        <v>1.18256</v>
      </c>
      <c r="N59" s="1654">
        <f>K59+L59</f>
        <v>0.71256</v>
      </c>
      <c r="O59" s="1591">
        <f>M59/10000</f>
        <v>0.000118256</v>
      </c>
      <c r="P59" s="1592">
        <f>N59/10000</f>
        <v>7.1256E-05</v>
      </c>
      <c r="Q59" s="482"/>
      <c r="R59" s="2555"/>
      <c r="S59" s="2555"/>
      <c r="T59" s="2568">
        <f>V59*1.2</f>
        <v>9360</v>
      </c>
      <c r="U59" s="2568">
        <f>W59*1.2</f>
        <v>4680</v>
      </c>
      <c r="V59" s="2555">
        <v>7800</v>
      </c>
      <c r="W59" s="2555">
        <v>3900</v>
      </c>
      <c r="X59" s="2567">
        <f>Z59*1.15</f>
        <v>2817.5</v>
      </c>
      <c r="Y59" s="2567">
        <f>AA59*1.15</f>
        <v>1380</v>
      </c>
      <c r="Z59" s="2555">
        <v>2450</v>
      </c>
      <c r="AA59" s="2555">
        <v>1200</v>
      </c>
    </row>
    <row r="60" spans="1:27" ht="11.25" customHeight="1">
      <c r="A60" s="221"/>
      <c r="B60" s="2258"/>
      <c r="C60" s="2259"/>
      <c r="D60" s="2259"/>
      <c r="E60" s="2259"/>
      <c r="F60" s="2259"/>
      <c r="G60" s="2259"/>
      <c r="H60" s="2260"/>
      <c r="I60" s="225"/>
      <c r="J60" s="1905"/>
      <c r="K60" s="1906"/>
      <c r="L60" s="1909"/>
      <c r="M60" s="1595"/>
      <c r="N60" s="1654"/>
      <c r="O60" s="1580"/>
      <c r="P60" s="1314"/>
      <c r="R60" s="2555"/>
      <c r="S60" s="2555"/>
      <c r="V60" s="2555"/>
      <c r="W60" s="2555"/>
      <c r="X60" s="2555"/>
      <c r="Y60" s="2555"/>
      <c r="Z60" s="2555"/>
      <c r="AA60" s="2555"/>
    </row>
    <row r="61" spans="1:27" ht="19.5">
      <c r="A61" s="221" t="s">
        <v>284</v>
      </c>
      <c r="B61" s="310" t="s">
        <v>8</v>
      </c>
      <c r="C61" s="310"/>
      <c r="D61" s="310"/>
      <c r="E61" s="310"/>
      <c r="F61" s="310"/>
      <c r="G61" s="310"/>
      <c r="H61" s="318"/>
      <c r="I61" s="225" t="s">
        <v>945</v>
      </c>
      <c r="J61" s="1905">
        <f>6700/10000</f>
        <v>0.67</v>
      </c>
      <c r="K61" s="1906">
        <f>3600/10000</f>
        <v>0.36</v>
      </c>
      <c r="L61" s="1909">
        <f>'[1]лаб.'!$J$107</f>
        <v>0.21892999999999999</v>
      </c>
      <c r="M61" s="1595">
        <f>J61+L61</f>
        <v>0.88893</v>
      </c>
      <c r="N61" s="1654">
        <f>K61+L61</f>
        <v>0.57893</v>
      </c>
      <c r="O61" s="1591">
        <f>M61/10000</f>
        <v>8.8893E-05</v>
      </c>
      <c r="P61" s="1592">
        <f>N61/10000</f>
        <v>5.7892999999999996E-05</v>
      </c>
      <c r="Q61" s="482"/>
      <c r="R61" s="2555"/>
      <c r="S61" s="2555"/>
      <c r="T61" s="2568">
        <f>V61*1.2</f>
        <v>6720</v>
      </c>
      <c r="U61" s="2568">
        <f>W61*1.2</f>
        <v>3600</v>
      </c>
      <c r="V61" s="2555">
        <v>5600</v>
      </c>
      <c r="W61" s="2555">
        <v>3000</v>
      </c>
      <c r="X61" s="2567">
        <f>Z61*1.15</f>
        <v>1724.9999999999998</v>
      </c>
      <c r="Y61" s="2567">
        <f>AA61*1.15</f>
        <v>919.9999999999999</v>
      </c>
      <c r="Z61" s="2555">
        <v>1500</v>
      </c>
      <c r="AA61" s="2555">
        <v>800</v>
      </c>
    </row>
    <row r="62" spans="1:27" ht="19.5">
      <c r="A62" s="221" t="s">
        <v>285</v>
      </c>
      <c r="B62" s="310" t="s">
        <v>9</v>
      </c>
      <c r="C62" s="310"/>
      <c r="D62" s="310"/>
      <c r="E62" s="310"/>
      <c r="F62" s="310"/>
      <c r="G62" s="310"/>
      <c r="H62" s="318"/>
      <c r="I62" s="225" t="s">
        <v>945</v>
      </c>
      <c r="J62" s="1907">
        <f>7800/10000</f>
        <v>0.78</v>
      </c>
      <c r="K62" s="1906" t="s">
        <v>622</v>
      </c>
      <c r="L62" s="1909">
        <f>'[1]лаб.'!$J$112</f>
        <v>1.1368</v>
      </c>
      <c r="M62" s="1595">
        <f>J62+L62</f>
        <v>1.9168</v>
      </c>
      <c r="N62" s="1654" t="s">
        <v>622</v>
      </c>
      <c r="O62" s="1591">
        <f>M62/10000</f>
        <v>0.00019168</v>
      </c>
      <c r="P62" s="1592" t="s">
        <v>622</v>
      </c>
      <c r="Q62" s="482"/>
      <c r="R62" s="2555"/>
      <c r="S62" s="2555"/>
      <c r="T62" s="2568">
        <f>V62*1.2</f>
        <v>7800</v>
      </c>
      <c r="U62" s="2568"/>
      <c r="V62" s="2555">
        <v>6500</v>
      </c>
      <c r="W62" s="2555" t="s">
        <v>622</v>
      </c>
      <c r="X62" s="2567">
        <f>Z62*1.15</f>
        <v>1954.9999999999998</v>
      </c>
      <c r="Y62" s="2567"/>
      <c r="Z62" s="2555">
        <v>1700</v>
      </c>
      <c r="AA62" s="2555" t="s">
        <v>622</v>
      </c>
    </row>
    <row r="63" spans="1:27" ht="17.25">
      <c r="A63" s="221" t="s">
        <v>286</v>
      </c>
      <c r="B63" s="2258" t="s">
        <v>12</v>
      </c>
      <c r="C63" s="2259"/>
      <c r="D63" s="2259"/>
      <c r="E63" s="2259"/>
      <c r="F63" s="2259"/>
      <c r="G63" s="2259"/>
      <c r="H63" s="2260"/>
      <c r="I63" s="225"/>
      <c r="J63" s="1905"/>
      <c r="K63" s="1906"/>
      <c r="L63" s="1909"/>
      <c r="M63" s="1595"/>
      <c r="N63" s="1654"/>
      <c r="O63" s="1580"/>
      <c r="P63" s="1314"/>
      <c r="R63" s="2555"/>
      <c r="S63" s="2555"/>
      <c r="V63" s="2555"/>
      <c r="W63" s="2555"/>
      <c r="X63" s="2555"/>
      <c r="Y63" s="2555"/>
      <c r="Z63" s="2555"/>
      <c r="AA63" s="2555"/>
    </row>
    <row r="64" spans="1:27" ht="15" customHeight="1">
      <c r="A64" s="221"/>
      <c r="B64" s="2258"/>
      <c r="C64" s="2259"/>
      <c r="D64" s="2259"/>
      <c r="E64" s="2259"/>
      <c r="F64" s="2259"/>
      <c r="G64" s="2259"/>
      <c r="H64" s="2260"/>
      <c r="I64" s="225"/>
      <c r="J64" s="1905"/>
      <c r="K64" s="1906"/>
      <c r="L64" s="1909"/>
      <c r="M64" s="1596"/>
      <c r="N64" s="1653"/>
      <c r="O64" s="1580"/>
      <c r="P64" s="1314"/>
      <c r="R64" s="2555"/>
      <c r="S64" s="2555"/>
      <c r="V64" s="2555"/>
      <c r="W64" s="2555"/>
      <c r="X64" s="2555"/>
      <c r="Y64" s="2555"/>
      <c r="Z64" s="2555"/>
      <c r="AA64" s="2555"/>
    </row>
    <row r="65" spans="1:27" ht="15" customHeight="1">
      <c r="A65" s="221"/>
      <c r="B65" s="1316"/>
      <c r="C65" s="1315"/>
      <c r="D65" s="1315"/>
      <c r="E65" s="1315"/>
      <c r="F65" s="2282" t="s">
        <v>13</v>
      </c>
      <c r="G65" s="2282"/>
      <c r="H65" s="2283"/>
      <c r="I65" s="225" t="s">
        <v>945</v>
      </c>
      <c r="J65" s="1905">
        <f>8800/10000</f>
        <v>0.88</v>
      </c>
      <c r="K65" s="1628">
        <f>4200/10000</f>
        <v>0.42</v>
      </c>
      <c r="L65" s="1909">
        <f>'[1]лаб.'!$J$118/10000</f>
        <v>2.6761999999999996E-05</v>
      </c>
      <c r="M65" s="1596">
        <f>J65+L65</f>
        <v>0.880026762</v>
      </c>
      <c r="N65" s="1654">
        <f>K65+L65</f>
        <v>0.420026762</v>
      </c>
      <c r="O65" s="1591">
        <f aca="true" t="shared" si="16" ref="O65:P67">M65/10000</f>
        <v>8.80026762E-05</v>
      </c>
      <c r="P65" s="1592">
        <f t="shared" si="16"/>
        <v>4.20026762E-05</v>
      </c>
      <c r="Q65" s="482"/>
      <c r="R65" s="2555"/>
      <c r="S65" s="2555"/>
      <c r="T65" s="2568">
        <f aca="true" t="shared" si="17" ref="T65:U67">V65*1.2</f>
        <v>8760</v>
      </c>
      <c r="U65" s="2568">
        <f t="shared" si="17"/>
        <v>4200</v>
      </c>
      <c r="V65" s="2555">
        <v>7300</v>
      </c>
      <c r="W65" s="2555">
        <v>3500</v>
      </c>
      <c r="X65" s="2567">
        <f aca="true" t="shared" si="18" ref="X65:Y67">Z65*1.15</f>
        <v>2645</v>
      </c>
      <c r="Y65" s="2567">
        <f t="shared" si="18"/>
        <v>1265</v>
      </c>
      <c r="Z65" s="2555">
        <v>2300</v>
      </c>
      <c r="AA65" s="2555">
        <v>1100</v>
      </c>
    </row>
    <row r="66" spans="1:28" s="232" customFormat="1" ht="19.5" hidden="1">
      <c r="A66" s="230"/>
      <c r="B66" s="1607"/>
      <c r="C66" s="1608"/>
      <c r="D66" s="1608"/>
      <c r="E66" s="1608"/>
      <c r="F66" s="2284" t="s">
        <v>14</v>
      </c>
      <c r="G66" s="2284"/>
      <c r="H66" s="2285"/>
      <c r="I66" s="231" t="s">
        <v>945</v>
      </c>
      <c r="J66" s="1905">
        <f>2250/10000</f>
        <v>0.225</v>
      </c>
      <c r="K66" s="1906">
        <f>1050/10000</f>
        <v>0.105</v>
      </c>
      <c r="L66" s="1909">
        <f>'[1]лаб.'!$J$119/10000</f>
        <v>1.5368999999999998E-05</v>
      </c>
      <c r="M66" s="1912">
        <f>J66+L66</f>
        <v>0.225015369</v>
      </c>
      <c r="N66" s="1654">
        <f>K66+L66</f>
        <v>0.105015369</v>
      </c>
      <c r="O66" s="1591">
        <f t="shared" si="16"/>
        <v>2.25015369E-05</v>
      </c>
      <c r="P66" s="1592">
        <f t="shared" si="16"/>
        <v>1.0501536899999999E-05</v>
      </c>
      <c r="Q66" s="482"/>
      <c r="R66" s="2555"/>
      <c r="S66" s="2555"/>
      <c r="T66" s="2568">
        <f t="shared" si="17"/>
        <v>2700</v>
      </c>
      <c r="U66" s="2568">
        <f t="shared" si="17"/>
        <v>1260</v>
      </c>
      <c r="V66" s="2555">
        <v>2250</v>
      </c>
      <c r="W66" s="2555">
        <v>1050</v>
      </c>
      <c r="X66" s="2567">
        <f t="shared" si="18"/>
        <v>2587.5</v>
      </c>
      <c r="Y66" s="2567">
        <f t="shared" si="18"/>
        <v>1207.5</v>
      </c>
      <c r="Z66" s="2555">
        <v>2250</v>
      </c>
      <c r="AA66" s="2555">
        <v>1050</v>
      </c>
      <c r="AB66" s="2565"/>
    </row>
    <row r="67" spans="1:27" ht="19.5">
      <c r="A67" s="514" t="s">
        <v>94</v>
      </c>
      <c r="B67" s="2258" t="s">
        <v>15</v>
      </c>
      <c r="C67" s="2259"/>
      <c r="D67" s="2259"/>
      <c r="E67" s="2259"/>
      <c r="F67" s="2259"/>
      <c r="G67" s="2259"/>
      <c r="H67" s="2260"/>
      <c r="I67" s="225" t="s">
        <v>945</v>
      </c>
      <c r="J67" s="1907">
        <f>5800/10000</f>
        <v>0.58</v>
      </c>
      <c r="K67" s="1906">
        <f>2000/10000</f>
        <v>0.2</v>
      </c>
      <c r="L67" s="1909">
        <f>'[1]лаб.'!$J$128/10000</f>
        <v>0.29</v>
      </c>
      <c r="M67" s="1595">
        <f>J67+L67</f>
        <v>0.8699999999999999</v>
      </c>
      <c r="N67" s="1654">
        <f>K67+L67</f>
        <v>0.49</v>
      </c>
      <c r="O67" s="1591">
        <f t="shared" si="16"/>
        <v>8.699999999999999E-05</v>
      </c>
      <c r="P67" s="1592">
        <f t="shared" si="16"/>
        <v>4.9E-05</v>
      </c>
      <c r="Q67" s="482"/>
      <c r="R67" s="2555"/>
      <c r="S67" s="2555"/>
      <c r="T67" s="2568">
        <f t="shared" si="17"/>
        <v>5760</v>
      </c>
      <c r="U67" s="2568">
        <f t="shared" si="17"/>
        <v>2040</v>
      </c>
      <c r="V67" s="2555">
        <v>4800</v>
      </c>
      <c r="W67" s="2555">
        <v>1700</v>
      </c>
      <c r="X67" s="2567">
        <f t="shared" si="18"/>
        <v>1437.5</v>
      </c>
      <c r="Y67" s="2567">
        <f t="shared" si="18"/>
        <v>517.5</v>
      </c>
      <c r="Z67" s="2555">
        <v>1250</v>
      </c>
      <c r="AA67" s="2555">
        <v>450</v>
      </c>
    </row>
    <row r="68" spans="1:27" ht="12.75" customHeight="1">
      <c r="A68" s="514"/>
      <c r="B68" s="2258"/>
      <c r="C68" s="2259"/>
      <c r="D68" s="2259"/>
      <c r="E68" s="2259"/>
      <c r="F68" s="2259"/>
      <c r="G68" s="2259"/>
      <c r="H68" s="2260"/>
      <c r="I68" s="225"/>
      <c r="J68" s="1910"/>
      <c r="K68" s="1911"/>
      <c r="L68" s="1909"/>
      <c r="M68" s="1595"/>
      <c r="N68" s="1654"/>
      <c r="O68" s="1580"/>
      <c r="P68" s="1593"/>
      <c r="Q68" s="482"/>
      <c r="R68" s="2555"/>
      <c r="S68" s="2555"/>
      <c r="T68" s="2568"/>
      <c r="U68" s="2568"/>
      <c r="V68" s="2555"/>
      <c r="W68" s="2555"/>
      <c r="X68" s="2555"/>
      <c r="Y68" s="2555"/>
      <c r="Z68" s="2555"/>
      <c r="AA68" s="2555"/>
    </row>
    <row r="69" spans="1:27" ht="15" customHeight="1">
      <c r="A69" s="221" t="s">
        <v>287</v>
      </c>
      <c r="B69" s="2258" t="s">
        <v>16</v>
      </c>
      <c r="C69" s="2262"/>
      <c r="D69" s="2262"/>
      <c r="E69" s="2262"/>
      <c r="F69" s="2262"/>
      <c r="G69" s="2262"/>
      <c r="H69" s="2263"/>
      <c r="I69" s="716" t="s">
        <v>945</v>
      </c>
      <c r="J69" s="1906">
        <f>5200/10000</f>
        <v>0.52</v>
      </c>
      <c r="K69" s="1906">
        <f>2000/10000</f>
        <v>0.2</v>
      </c>
      <c r="L69" s="1659">
        <f>'[1]лаб.'!$J$133</f>
        <v>0.7519800000000001</v>
      </c>
      <c r="M69" s="1653">
        <f>J69+L69</f>
        <v>1.27198</v>
      </c>
      <c r="N69" s="1587">
        <f>K69+L69</f>
        <v>0.95198</v>
      </c>
      <c r="O69" s="1591">
        <f>M69/10000</f>
        <v>0.00012719800000000002</v>
      </c>
      <c r="P69" s="1592">
        <f>N69/10000</f>
        <v>9.5198E-05</v>
      </c>
      <c r="Q69" s="482"/>
      <c r="R69" s="2555"/>
      <c r="S69" s="2555"/>
      <c r="T69" s="2568">
        <f>V69*1.2</f>
        <v>5160</v>
      </c>
      <c r="U69" s="2568">
        <f>W69*1.2</f>
        <v>2040</v>
      </c>
      <c r="V69" s="2555">
        <v>4300</v>
      </c>
      <c r="W69" s="2555">
        <v>1700</v>
      </c>
      <c r="X69" s="2567">
        <f>Z69*1.15</f>
        <v>1552.4999999999998</v>
      </c>
      <c r="Y69" s="2567">
        <f>AA69*1.15</f>
        <v>632.5</v>
      </c>
      <c r="Z69" s="2555">
        <v>1350</v>
      </c>
      <c r="AA69" s="2555">
        <v>550</v>
      </c>
    </row>
    <row r="70" spans="1:27" ht="19.5" customHeight="1">
      <c r="A70" s="221"/>
      <c r="B70" s="2264"/>
      <c r="C70" s="2262"/>
      <c r="D70" s="2262"/>
      <c r="E70" s="2262"/>
      <c r="F70" s="2262"/>
      <c r="G70" s="2262"/>
      <c r="H70" s="2263"/>
      <c r="I70" s="716"/>
      <c r="J70" s="1911"/>
      <c r="K70" s="1914"/>
      <c r="L70" s="1659"/>
      <c r="M70" s="1915"/>
      <c r="N70" s="1916"/>
      <c r="O70" s="1580"/>
      <c r="P70" s="1314"/>
      <c r="R70" s="2555"/>
      <c r="S70" s="2555"/>
      <c r="V70" s="2555"/>
      <c r="W70" s="2555"/>
      <c r="X70" s="2555"/>
      <c r="Y70" s="2555"/>
      <c r="Z70" s="2555"/>
      <c r="AA70" s="2555"/>
    </row>
    <row r="71" spans="1:28" s="164" customFormat="1" ht="11.25" customHeight="1">
      <c r="A71" s="235">
        <v>1</v>
      </c>
      <c r="B71" s="2279">
        <v>2</v>
      </c>
      <c r="C71" s="2280"/>
      <c r="D71" s="2280"/>
      <c r="E71" s="2280"/>
      <c r="F71" s="2280"/>
      <c r="G71" s="2280"/>
      <c r="H71" s="2281"/>
      <c r="I71" s="712">
        <v>3</v>
      </c>
      <c r="J71" s="1917">
        <v>4</v>
      </c>
      <c r="K71" s="1918">
        <v>5</v>
      </c>
      <c r="L71" s="1919">
        <v>6</v>
      </c>
      <c r="M71" s="1920">
        <v>7</v>
      </c>
      <c r="N71" s="1921">
        <v>8</v>
      </c>
      <c r="O71" s="1317">
        <v>9</v>
      </c>
      <c r="P71" s="235">
        <v>10</v>
      </c>
      <c r="R71" s="2566"/>
      <c r="S71" s="2566"/>
      <c r="T71" s="2570"/>
      <c r="U71" s="2570"/>
      <c r="V71" s="2566">
        <v>4</v>
      </c>
      <c r="W71" s="2566">
        <v>5</v>
      </c>
      <c r="X71" s="2566">
        <v>4</v>
      </c>
      <c r="Y71" s="2566">
        <v>5</v>
      </c>
      <c r="Z71" s="2566">
        <v>4</v>
      </c>
      <c r="AA71" s="2566">
        <v>5</v>
      </c>
      <c r="AB71" s="2570"/>
    </row>
    <row r="72" spans="1:27" ht="15" customHeight="1">
      <c r="A72" s="221" t="s">
        <v>288</v>
      </c>
      <c r="B72" s="2261" t="s">
        <v>20</v>
      </c>
      <c r="C72" s="2262"/>
      <c r="D72" s="2262"/>
      <c r="E72" s="2262"/>
      <c r="F72" s="2262"/>
      <c r="G72" s="2262"/>
      <c r="H72" s="2263"/>
      <c r="I72" s="716"/>
      <c r="J72" s="1911"/>
      <c r="K72" s="1914"/>
      <c r="L72" s="1659"/>
      <c r="M72" s="1915"/>
      <c r="N72" s="1916"/>
      <c r="O72" s="1580"/>
      <c r="P72" s="1314"/>
      <c r="R72" s="2555"/>
      <c r="S72" s="2555"/>
      <c r="V72" s="2555"/>
      <c r="W72" s="2555"/>
      <c r="X72" s="2555"/>
      <c r="Y72" s="2555"/>
      <c r="Z72" s="2555"/>
      <c r="AA72" s="2555"/>
    </row>
    <row r="73" spans="1:27" ht="19.5">
      <c r="A73" s="221"/>
      <c r="B73" s="2264"/>
      <c r="C73" s="2262"/>
      <c r="D73" s="2262"/>
      <c r="E73" s="2262"/>
      <c r="F73" s="2262"/>
      <c r="G73" s="2262"/>
      <c r="H73" s="2263"/>
      <c r="I73" s="716" t="s">
        <v>945</v>
      </c>
      <c r="J73" s="1906">
        <f>8800/10000</f>
        <v>0.88</v>
      </c>
      <c r="K73" s="1922">
        <f>5800/10000</f>
        <v>0.58</v>
      </c>
      <c r="L73" s="1659">
        <f>'[1]лаб.'!$J$138</f>
        <v>0.40246</v>
      </c>
      <c r="M73" s="1653">
        <f>J73+L73</f>
        <v>1.28246</v>
      </c>
      <c r="N73" s="1588">
        <f>K73+L73</f>
        <v>0.9824599999999999</v>
      </c>
      <c r="O73" s="1591">
        <f>M73/10000</f>
        <v>0.000128246</v>
      </c>
      <c r="P73" s="1592">
        <f>N73/10000</f>
        <v>9.8246E-05</v>
      </c>
      <c r="Q73" s="482"/>
      <c r="R73" s="2555"/>
      <c r="S73" s="2555"/>
      <c r="T73" s="2568">
        <f>V73*1.2</f>
        <v>8760</v>
      </c>
      <c r="U73" s="2568">
        <f>W73*1.2</f>
        <v>5760</v>
      </c>
      <c r="V73" s="2555">
        <v>7300</v>
      </c>
      <c r="W73" s="2555">
        <v>4800</v>
      </c>
      <c r="X73" s="2567">
        <f>Z73*1.15</f>
        <v>2645</v>
      </c>
      <c r="Y73" s="2567">
        <f>AA73*1.15</f>
        <v>1724.9999999999998</v>
      </c>
      <c r="Z73" s="2555">
        <v>2300</v>
      </c>
      <c r="AA73" s="2555">
        <v>1500</v>
      </c>
    </row>
    <row r="74" spans="1:27" ht="19.5">
      <c r="A74" s="236" t="s">
        <v>289</v>
      </c>
      <c r="B74" s="1609" t="s">
        <v>21</v>
      </c>
      <c r="C74" s="310"/>
      <c r="D74" s="310"/>
      <c r="E74" s="310"/>
      <c r="F74" s="310"/>
      <c r="G74" s="310"/>
      <c r="H74" s="318"/>
      <c r="I74" s="716" t="s">
        <v>945</v>
      </c>
      <c r="J74" s="1907">
        <f>7800/10000</f>
        <v>0.78</v>
      </c>
      <c r="K74" s="1922">
        <f>4700/10000</f>
        <v>0.47</v>
      </c>
      <c r="L74" s="1659">
        <f>'[1]лаб.'!$J$143</f>
        <v>2.9009900000000006</v>
      </c>
      <c r="M74" s="1653">
        <f>J74+L74</f>
        <v>3.6809900000000004</v>
      </c>
      <c r="N74" s="1587">
        <f>K74+L74</f>
        <v>3.370990000000001</v>
      </c>
      <c r="O74" s="1591">
        <f>M74/10000</f>
        <v>0.00036809900000000004</v>
      </c>
      <c r="P74" s="1592">
        <f>N74/10000</f>
        <v>0.0003370990000000001</v>
      </c>
      <c r="Q74" s="482"/>
      <c r="R74" s="2555"/>
      <c r="S74" s="2555"/>
      <c r="T74" s="2568">
        <f>V74*1.2</f>
        <v>7800</v>
      </c>
      <c r="U74" s="2568">
        <f>W74*1.2</f>
        <v>4680</v>
      </c>
      <c r="V74" s="2555">
        <v>6500</v>
      </c>
      <c r="W74" s="2555">
        <v>3900</v>
      </c>
      <c r="X74" s="2567">
        <f>Z74*1.15</f>
        <v>2300</v>
      </c>
      <c r="Y74" s="2567">
        <f>AA74*1.15</f>
        <v>1380</v>
      </c>
      <c r="Z74" s="2555">
        <v>2000</v>
      </c>
      <c r="AA74" s="2555">
        <v>1200</v>
      </c>
    </row>
    <row r="75" spans="1:27" ht="17.25">
      <c r="A75" s="236" t="s">
        <v>290</v>
      </c>
      <c r="B75" s="1609" t="s">
        <v>22</v>
      </c>
      <c r="C75" s="310"/>
      <c r="D75" s="310"/>
      <c r="E75" s="310"/>
      <c r="F75" s="310"/>
      <c r="G75" s="310"/>
      <c r="H75" s="318"/>
      <c r="I75" s="716"/>
      <c r="J75" s="1906"/>
      <c r="K75" s="1913"/>
      <c r="L75" s="1659"/>
      <c r="M75" s="1654"/>
      <c r="N75" s="1587"/>
      <c r="O75" s="1580"/>
      <c r="P75" s="1314"/>
      <c r="R75" s="2555"/>
      <c r="S75" s="2555"/>
      <c r="V75" s="2555"/>
      <c r="W75" s="2555"/>
      <c r="X75" s="2555"/>
      <c r="Y75" s="2555"/>
      <c r="Z75" s="2555"/>
      <c r="AA75" s="2555"/>
    </row>
    <row r="76" spans="1:27" ht="18" customHeight="1">
      <c r="A76" s="236"/>
      <c r="B76" s="1609" t="s">
        <v>23</v>
      </c>
      <c r="C76" s="310"/>
      <c r="D76" s="310"/>
      <c r="E76" s="310"/>
      <c r="F76" s="310"/>
      <c r="G76" s="310"/>
      <c r="H76" s="318"/>
      <c r="I76" s="716" t="s">
        <v>945</v>
      </c>
      <c r="J76" s="1906">
        <f>6700/10000</f>
        <v>0.67</v>
      </c>
      <c r="K76" s="1906">
        <f>3600/10000</f>
        <v>0.36</v>
      </c>
      <c r="L76" s="1659">
        <f>'[1]лаб.'!$J$148</f>
        <v>1.35783</v>
      </c>
      <c r="M76" s="1653">
        <f>J76+L76</f>
        <v>2.0278300000000002</v>
      </c>
      <c r="N76" s="1587">
        <f>K76+L76</f>
        <v>1.7178300000000002</v>
      </c>
      <c r="O76" s="1591">
        <f>M76/10000</f>
        <v>0.00020278300000000003</v>
      </c>
      <c r="P76" s="1592">
        <f>N76/10000</f>
        <v>0.00017178300000000003</v>
      </c>
      <c r="Q76" s="482"/>
      <c r="R76" s="2555"/>
      <c r="S76" s="2555"/>
      <c r="T76" s="2568">
        <f>V76*1.2</f>
        <v>6720</v>
      </c>
      <c r="U76" s="2568">
        <f>W76*1.2</f>
        <v>3600</v>
      </c>
      <c r="V76" s="2555">
        <v>5600</v>
      </c>
      <c r="W76" s="2555">
        <v>3000</v>
      </c>
      <c r="X76" s="2567">
        <f>Z76*1.15</f>
        <v>2012.4999999999998</v>
      </c>
      <c r="Y76" s="2567">
        <f>AA76*1.15</f>
        <v>1092.5</v>
      </c>
      <c r="Z76" s="2555">
        <v>1750</v>
      </c>
      <c r="AA76" s="2555">
        <v>950</v>
      </c>
    </row>
    <row r="77" spans="1:27" ht="13.5" customHeight="1">
      <c r="A77" s="236" t="s">
        <v>291</v>
      </c>
      <c r="B77" s="2258" t="s">
        <v>24</v>
      </c>
      <c r="C77" s="2262"/>
      <c r="D77" s="2262"/>
      <c r="E77" s="2262"/>
      <c r="F77" s="2262"/>
      <c r="G77" s="2262"/>
      <c r="H77" s="2263"/>
      <c r="I77" s="253"/>
      <c r="J77" s="1906"/>
      <c r="K77" s="1913"/>
      <c r="L77" s="1659"/>
      <c r="M77" s="1654"/>
      <c r="N77" s="1923"/>
      <c r="O77" s="1580"/>
      <c r="P77" s="1314"/>
      <c r="R77" s="2555"/>
      <c r="S77" s="2555"/>
      <c r="V77" s="2555"/>
      <c r="W77" s="2555"/>
      <c r="X77" s="2555"/>
      <c r="Y77" s="2555"/>
      <c r="Z77" s="2555"/>
      <c r="AA77" s="2555"/>
    </row>
    <row r="78" spans="1:27" ht="21" customHeight="1">
      <c r="A78" s="236"/>
      <c r="B78" s="2264"/>
      <c r="C78" s="2262"/>
      <c r="D78" s="2262"/>
      <c r="E78" s="2262"/>
      <c r="F78" s="2262"/>
      <c r="G78" s="2262"/>
      <c r="H78" s="2263"/>
      <c r="I78" s="716" t="s">
        <v>945</v>
      </c>
      <c r="J78" s="1906">
        <f>8300/10000</f>
        <v>0.83</v>
      </c>
      <c r="K78" s="1907">
        <f>4200/10000</f>
        <v>0.42</v>
      </c>
      <c r="L78" s="1659">
        <f>'[1]лаб.'!$J$153</f>
        <v>0.28492</v>
      </c>
      <c r="M78" s="1654">
        <f>J78+L78</f>
        <v>1.11492</v>
      </c>
      <c r="N78" s="1587">
        <f>K78+L78</f>
        <v>0.70492</v>
      </c>
      <c r="O78" s="1591">
        <f>M78/10000</f>
        <v>0.000111492</v>
      </c>
      <c r="P78" s="1592">
        <f>N78/10000</f>
        <v>7.0492E-05</v>
      </c>
      <c r="Q78" s="482"/>
      <c r="R78" s="2555"/>
      <c r="S78" s="2555"/>
      <c r="T78" s="2568">
        <f>V78*1.2</f>
        <v>8280</v>
      </c>
      <c r="U78" s="2568">
        <f>W78*1.2</f>
        <v>4200</v>
      </c>
      <c r="V78" s="2555">
        <v>6900</v>
      </c>
      <c r="W78" s="2555">
        <v>3500</v>
      </c>
      <c r="X78" s="2567">
        <f>Z78*1.15</f>
        <v>2070</v>
      </c>
      <c r="Y78" s="2567">
        <f>AA78*1.15</f>
        <v>1035</v>
      </c>
      <c r="Z78" s="2555">
        <v>1800</v>
      </c>
      <c r="AA78" s="2555">
        <v>900</v>
      </c>
    </row>
    <row r="79" spans="1:27" ht="13.5" customHeight="1">
      <c r="A79" s="236" t="s">
        <v>292</v>
      </c>
      <c r="B79" s="2258" t="s">
        <v>25</v>
      </c>
      <c r="C79" s="2262"/>
      <c r="D79" s="2262"/>
      <c r="E79" s="2262"/>
      <c r="F79" s="2262"/>
      <c r="G79" s="2262"/>
      <c r="H79" s="2263"/>
      <c r="I79" s="253"/>
      <c r="J79" s="1911"/>
      <c r="K79" s="1922"/>
      <c r="L79" s="1659"/>
      <c r="M79" s="1654"/>
      <c r="N79" s="1923"/>
      <c r="O79" s="1580"/>
      <c r="P79" s="1314"/>
      <c r="R79" s="2555"/>
      <c r="S79" s="2555"/>
      <c r="V79" s="2555"/>
      <c r="W79" s="2555"/>
      <c r="X79" s="2555"/>
      <c r="Y79" s="2555"/>
      <c r="Z79" s="2555"/>
      <c r="AA79" s="2555"/>
    </row>
    <row r="80" spans="1:27" ht="22.5" customHeight="1">
      <c r="A80" s="236"/>
      <c r="B80" s="2264"/>
      <c r="C80" s="2262"/>
      <c r="D80" s="2262"/>
      <c r="E80" s="2262"/>
      <c r="F80" s="2262"/>
      <c r="G80" s="2262"/>
      <c r="H80" s="2263"/>
      <c r="I80" s="716" t="s">
        <v>945</v>
      </c>
      <c r="J80" s="1906">
        <f>8300/10000</f>
        <v>0.83</v>
      </c>
      <c r="K80" s="1907">
        <f>4200/10000</f>
        <v>0.42</v>
      </c>
      <c r="L80" s="1659">
        <f>'[1]лаб.'!$J$158</f>
        <v>0.29233000000000003</v>
      </c>
      <c r="M80" s="1654">
        <f>J80+L80</f>
        <v>1.12233</v>
      </c>
      <c r="N80" s="1587">
        <f>K80+L80</f>
        <v>0.71233</v>
      </c>
      <c r="O80" s="1591">
        <f>M80/10000</f>
        <v>0.00011223300000000001</v>
      </c>
      <c r="P80" s="1592">
        <f>N80/10000</f>
        <v>7.1233E-05</v>
      </c>
      <c r="Q80" s="482"/>
      <c r="R80" s="2555"/>
      <c r="S80" s="2555"/>
      <c r="T80" s="2568">
        <f>V80*1.2</f>
        <v>8280</v>
      </c>
      <c r="U80" s="2568">
        <f>W80*1.2</f>
        <v>4200</v>
      </c>
      <c r="V80" s="2555">
        <v>6900</v>
      </c>
      <c r="W80" s="2555">
        <v>3500</v>
      </c>
      <c r="X80" s="2567">
        <f>Z80*1.15</f>
        <v>2070</v>
      </c>
      <c r="Y80" s="2567">
        <f>AA80*1.15</f>
        <v>1035</v>
      </c>
      <c r="Z80" s="2555">
        <v>1800</v>
      </c>
      <c r="AA80" s="2555">
        <v>900</v>
      </c>
    </row>
    <row r="81" spans="1:27" ht="13.5" customHeight="1">
      <c r="A81" s="236" t="s">
        <v>293</v>
      </c>
      <c r="B81" s="2261" t="s">
        <v>26</v>
      </c>
      <c r="C81" s="2262"/>
      <c r="D81" s="2262"/>
      <c r="E81" s="2262"/>
      <c r="F81" s="2262"/>
      <c r="G81" s="2262"/>
      <c r="H81" s="2263"/>
      <c r="I81" s="716"/>
      <c r="J81" s="1906"/>
      <c r="K81" s="1913"/>
      <c r="L81" s="1659"/>
      <c r="M81" s="1654"/>
      <c r="N81" s="1587"/>
      <c r="O81" s="1580"/>
      <c r="P81" s="1314"/>
      <c r="R81" s="2555"/>
      <c r="S81" s="2555"/>
      <c r="V81" s="2555"/>
      <c r="W81" s="2555"/>
      <c r="X81" s="2555"/>
      <c r="Y81" s="2555"/>
      <c r="Z81" s="2555"/>
      <c r="AA81" s="2555"/>
    </row>
    <row r="82" spans="1:27" ht="17.25" customHeight="1">
      <c r="A82" s="236"/>
      <c r="B82" s="2264"/>
      <c r="C82" s="2262"/>
      <c r="D82" s="2262"/>
      <c r="E82" s="2262"/>
      <c r="F82" s="2262"/>
      <c r="G82" s="2262"/>
      <c r="H82" s="2263"/>
      <c r="I82" s="716" t="s">
        <v>945</v>
      </c>
      <c r="J82" s="1908">
        <f>12500/10000</f>
        <v>1.25</v>
      </c>
      <c r="K82" s="1906">
        <f>5200/10000</f>
        <v>0.52</v>
      </c>
      <c r="L82" s="1659">
        <f>'[1]лаб.'!$J$163</f>
        <v>0.18552999999999997</v>
      </c>
      <c r="M82" s="1653">
        <f>J82+L82</f>
        <v>1.43553</v>
      </c>
      <c r="N82" s="1587">
        <f>K82+L82</f>
        <v>0.70553</v>
      </c>
      <c r="O82" s="1591">
        <f aca="true" t="shared" si="19" ref="O82:P84">M82/10000</f>
        <v>0.00014355299999999999</v>
      </c>
      <c r="P82" s="1592">
        <f t="shared" si="19"/>
        <v>7.0553E-05</v>
      </c>
      <c r="Q82" s="482"/>
      <c r="R82" s="2555"/>
      <c r="S82" s="2555"/>
      <c r="T82" s="2568">
        <f aca="true" t="shared" si="20" ref="T82:U84">V82*1.2</f>
        <v>12480</v>
      </c>
      <c r="U82" s="2568">
        <f t="shared" si="20"/>
        <v>5160</v>
      </c>
      <c r="V82" s="2555">
        <v>10400</v>
      </c>
      <c r="W82" s="2555">
        <v>4300</v>
      </c>
      <c r="X82" s="2567">
        <f aca="true" t="shared" si="21" ref="X82:Y84">Z82*1.15</f>
        <v>3737.4999999999995</v>
      </c>
      <c r="Y82" s="2567">
        <f t="shared" si="21"/>
        <v>1552.4999999999998</v>
      </c>
      <c r="Z82" s="2555">
        <v>3250</v>
      </c>
      <c r="AA82" s="2555">
        <v>1350</v>
      </c>
    </row>
    <row r="83" spans="1:27" ht="18" customHeight="1">
      <c r="A83" s="236" t="s">
        <v>294</v>
      </c>
      <c r="B83" s="1610" t="s">
        <v>45</v>
      </c>
      <c r="C83" s="1611"/>
      <c r="D83" s="1611"/>
      <c r="E83" s="1611"/>
      <c r="F83" s="1611"/>
      <c r="G83" s="1611"/>
      <c r="H83" s="1612"/>
      <c r="I83" s="716" t="s">
        <v>945</v>
      </c>
      <c r="J83" s="1907">
        <f>7800/10000</f>
        <v>0.78</v>
      </c>
      <c r="K83" s="1906">
        <f>5200/10000</f>
        <v>0.52</v>
      </c>
      <c r="L83" s="1659">
        <f>'[1]лаб.'!$J$168</f>
        <v>0.8551300000000002</v>
      </c>
      <c r="M83" s="1653">
        <f>J83+L83</f>
        <v>1.6351300000000002</v>
      </c>
      <c r="N83" s="1587">
        <f>K83+L83</f>
        <v>1.3751300000000002</v>
      </c>
      <c r="O83" s="1591">
        <f t="shared" si="19"/>
        <v>0.00016351300000000003</v>
      </c>
      <c r="P83" s="1592">
        <f t="shared" si="19"/>
        <v>0.00013751300000000002</v>
      </c>
      <c r="Q83" s="482"/>
      <c r="R83" s="2555"/>
      <c r="S83" s="2555"/>
      <c r="T83" s="2568">
        <f t="shared" si="20"/>
        <v>7800</v>
      </c>
      <c r="U83" s="2568">
        <f t="shared" si="20"/>
        <v>5160</v>
      </c>
      <c r="V83" s="2555">
        <v>6500</v>
      </c>
      <c r="W83" s="2555">
        <v>4300</v>
      </c>
      <c r="X83" s="2567">
        <f t="shared" si="21"/>
        <v>2300</v>
      </c>
      <c r="Y83" s="2567">
        <f t="shared" si="21"/>
        <v>1552.4999999999998</v>
      </c>
      <c r="Z83" s="2555">
        <v>2000</v>
      </c>
      <c r="AA83" s="2555">
        <v>1350</v>
      </c>
    </row>
    <row r="84" spans="1:27" ht="13.5" customHeight="1">
      <c r="A84" s="236" t="s">
        <v>295</v>
      </c>
      <c r="B84" s="2258" t="s">
        <v>46</v>
      </c>
      <c r="C84" s="2262"/>
      <c r="D84" s="2262"/>
      <c r="E84" s="2262"/>
      <c r="F84" s="2262"/>
      <c r="G84" s="2262"/>
      <c r="H84" s="2263"/>
      <c r="I84" s="716" t="s">
        <v>945</v>
      </c>
      <c r="J84" s="1907">
        <f>7800/10000</f>
        <v>0.78</v>
      </c>
      <c r="K84" s="1906">
        <f>5200/10000</f>
        <v>0.52</v>
      </c>
      <c r="L84" s="1659">
        <f>'[1]лаб.'!$J$173</f>
        <v>0.30573</v>
      </c>
      <c r="M84" s="1654">
        <f>J84+L84</f>
        <v>1.08573</v>
      </c>
      <c r="N84" s="1587">
        <f>K84+L84</f>
        <v>0.8257300000000001</v>
      </c>
      <c r="O84" s="1591">
        <f t="shared" si="19"/>
        <v>0.000108573</v>
      </c>
      <c r="P84" s="1592">
        <f t="shared" si="19"/>
        <v>8.257300000000001E-05</v>
      </c>
      <c r="Q84" s="482"/>
      <c r="R84" s="2555"/>
      <c r="S84" s="2555"/>
      <c r="T84" s="2568">
        <f t="shared" si="20"/>
        <v>7800</v>
      </c>
      <c r="U84" s="2568">
        <f t="shared" si="20"/>
        <v>5160</v>
      </c>
      <c r="V84" s="2555">
        <v>6500</v>
      </c>
      <c r="W84" s="2555">
        <v>4300</v>
      </c>
      <c r="X84" s="2567">
        <f t="shared" si="21"/>
        <v>1954.9999999999998</v>
      </c>
      <c r="Y84" s="2567">
        <f t="shared" si="21"/>
        <v>1322.5</v>
      </c>
      <c r="Z84" s="2555">
        <v>1700</v>
      </c>
      <c r="AA84" s="2555">
        <v>1150</v>
      </c>
    </row>
    <row r="85" spans="1:27" ht="16.5" customHeight="1">
      <c r="A85" s="236"/>
      <c r="B85" s="2264"/>
      <c r="C85" s="2262"/>
      <c r="D85" s="2262"/>
      <c r="E85" s="2262"/>
      <c r="F85" s="2262"/>
      <c r="G85" s="2262"/>
      <c r="H85" s="2263"/>
      <c r="I85" s="716"/>
      <c r="J85" s="1908"/>
      <c r="K85" s="1913"/>
      <c r="L85" s="1659"/>
      <c r="M85" s="1654"/>
      <c r="N85" s="1587"/>
      <c r="O85" s="1580"/>
      <c r="P85" s="1314"/>
      <c r="R85" s="2555"/>
      <c r="S85" s="2555"/>
      <c r="V85" s="2555"/>
      <c r="W85" s="2555"/>
      <c r="X85" s="2555"/>
      <c r="Y85" s="2555"/>
      <c r="Z85" s="2555"/>
      <c r="AA85" s="2555"/>
    </row>
    <row r="86" spans="1:27" ht="13.5" customHeight="1">
      <c r="A86" s="236" t="s">
        <v>296</v>
      </c>
      <c r="B86" s="1609" t="s">
        <v>47</v>
      </c>
      <c r="C86" s="1613"/>
      <c r="D86" s="1614"/>
      <c r="E86" s="1614"/>
      <c r="F86" s="1615"/>
      <c r="G86" s="1615"/>
      <c r="H86" s="318"/>
      <c r="I86" s="716"/>
      <c r="J86" s="1908"/>
      <c r="K86" s="1914"/>
      <c r="L86" s="1659"/>
      <c r="M86" s="1654"/>
      <c r="N86" s="1587"/>
      <c r="O86" s="1580"/>
      <c r="P86" s="1314"/>
      <c r="R86" s="2555"/>
      <c r="S86" s="2555"/>
      <c r="V86" s="2555"/>
      <c r="W86" s="2555"/>
      <c r="X86" s="2555"/>
      <c r="Y86" s="2555"/>
      <c r="Z86" s="2555"/>
      <c r="AA86" s="2555"/>
    </row>
    <row r="87" spans="1:27" ht="13.5" customHeight="1">
      <c r="A87" s="236"/>
      <c r="B87" s="1616" t="s">
        <v>622</v>
      </c>
      <c r="C87" s="1613" t="s">
        <v>48</v>
      </c>
      <c r="D87" s="1614"/>
      <c r="E87" s="1614"/>
      <c r="F87" s="1615"/>
      <c r="G87" s="1615"/>
      <c r="H87" s="318"/>
      <c r="I87" s="716" t="s">
        <v>945</v>
      </c>
      <c r="J87" s="1907">
        <f>7800/10000</f>
        <v>0.78</v>
      </c>
      <c r="K87" s="1907">
        <f>4200/10000</f>
        <v>0.42</v>
      </c>
      <c r="L87" s="1659">
        <f>'[1]лаб.'!$J$178</f>
        <v>0.41523</v>
      </c>
      <c r="M87" s="1653">
        <f>J87+L87</f>
        <v>1.19523</v>
      </c>
      <c r="N87" s="1587">
        <f>K87+L87</f>
        <v>0.8352299999999999</v>
      </c>
      <c r="O87" s="1591">
        <f>M87/10000</f>
        <v>0.000119523</v>
      </c>
      <c r="P87" s="1592">
        <f>N87/10000</f>
        <v>8.352299999999999E-05</v>
      </c>
      <c r="Q87" s="482"/>
      <c r="R87" s="2555"/>
      <c r="S87" s="2555"/>
      <c r="T87" s="2568">
        <f>V87*1.2</f>
        <v>7800</v>
      </c>
      <c r="U87" s="2568">
        <f>W87*1.2</f>
        <v>4200</v>
      </c>
      <c r="V87" s="2555">
        <v>6500</v>
      </c>
      <c r="W87" s="2555">
        <v>3500</v>
      </c>
      <c r="X87" s="2567">
        <f>Z87*1.15</f>
        <v>2300</v>
      </c>
      <c r="Y87" s="2567">
        <f>AA87*1.15</f>
        <v>1265</v>
      </c>
      <c r="Z87" s="2555">
        <v>2000</v>
      </c>
      <c r="AA87" s="2555">
        <v>1100</v>
      </c>
    </row>
    <row r="88" spans="1:27" ht="15" customHeight="1">
      <c r="A88" s="236" t="s">
        <v>297</v>
      </c>
      <c r="B88" s="2258" t="s">
        <v>49</v>
      </c>
      <c r="C88" s="2262"/>
      <c r="D88" s="2262"/>
      <c r="E88" s="2262"/>
      <c r="F88" s="2262"/>
      <c r="G88" s="2262"/>
      <c r="H88" s="2263"/>
      <c r="I88" s="253"/>
      <c r="J88" s="1906"/>
      <c r="K88" s="1922"/>
      <c r="L88" s="1659"/>
      <c r="M88" s="1654"/>
      <c r="N88" s="1923"/>
      <c r="O88" s="1580"/>
      <c r="P88" s="1314"/>
      <c r="R88" s="2555"/>
      <c r="S88" s="2555"/>
      <c r="V88" s="2555"/>
      <c r="W88" s="2555"/>
      <c r="X88" s="2555"/>
      <c r="Y88" s="2555"/>
      <c r="Z88" s="2555"/>
      <c r="AA88" s="2555"/>
    </row>
    <row r="89" spans="1:27" ht="19.5">
      <c r="A89" s="236"/>
      <c r="B89" s="2264"/>
      <c r="C89" s="2262"/>
      <c r="D89" s="2262"/>
      <c r="E89" s="2262"/>
      <c r="F89" s="2262"/>
      <c r="G89" s="2262"/>
      <c r="H89" s="2263"/>
      <c r="I89" s="716" t="s">
        <v>945</v>
      </c>
      <c r="J89" s="1906">
        <f>23800/10000</f>
        <v>2.38</v>
      </c>
      <c r="K89" s="1922">
        <f>9400/10000</f>
        <v>0.94</v>
      </c>
      <c r="L89" s="1659">
        <f>'[1]лаб.'!$J$183</f>
        <v>5.43073</v>
      </c>
      <c r="M89" s="1654">
        <f>J89+L89</f>
        <v>7.8107299999999995</v>
      </c>
      <c r="N89" s="1587">
        <f>K89+L89</f>
        <v>6.37073</v>
      </c>
      <c r="O89" s="1591">
        <f>M89/10000</f>
        <v>0.000781073</v>
      </c>
      <c r="P89" s="1592">
        <f>N89/10000</f>
        <v>0.000637073</v>
      </c>
      <c r="Q89" s="482"/>
      <c r="R89" s="2555"/>
      <c r="S89" s="2555"/>
      <c r="T89" s="2568">
        <f>V89*1.2</f>
        <v>23760</v>
      </c>
      <c r="U89" s="2568">
        <f>W89*1.2</f>
        <v>9360</v>
      </c>
      <c r="V89" s="2555">
        <v>19800</v>
      </c>
      <c r="W89" s="2555">
        <v>7800</v>
      </c>
      <c r="X89" s="2567">
        <f>Z89*1.15</f>
        <v>6037.499999999999</v>
      </c>
      <c r="Y89" s="2567">
        <f>AA89*1.15</f>
        <v>2357.5</v>
      </c>
      <c r="Z89" s="2555">
        <v>5250</v>
      </c>
      <c r="AA89" s="2555">
        <v>2050</v>
      </c>
    </row>
    <row r="90" spans="1:27" ht="15" customHeight="1">
      <c r="A90" s="214"/>
      <c r="B90" s="2273" t="s">
        <v>56</v>
      </c>
      <c r="C90" s="2262"/>
      <c r="D90" s="2262"/>
      <c r="E90" s="2262"/>
      <c r="F90" s="2262"/>
      <c r="G90" s="2262"/>
      <c r="H90" s="2263"/>
      <c r="I90" s="716"/>
      <c r="J90" s="1911"/>
      <c r="K90" s="1914"/>
      <c r="L90" s="1659"/>
      <c r="M90" s="1654"/>
      <c r="N90" s="1587"/>
      <c r="O90" s="1580"/>
      <c r="P90" s="1314"/>
      <c r="R90" s="2567"/>
      <c r="S90" s="2555"/>
      <c r="V90" s="2567"/>
      <c r="W90" s="2555"/>
      <c r="X90" s="2567"/>
      <c r="Y90" s="2555"/>
      <c r="Z90" s="2567"/>
      <c r="AA90" s="2555"/>
    </row>
    <row r="91" spans="1:27" ht="14.25" customHeight="1">
      <c r="A91" s="236" t="s">
        <v>298</v>
      </c>
      <c r="B91" s="2261" t="s">
        <v>57</v>
      </c>
      <c r="C91" s="2262"/>
      <c r="D91" s="2262"/>
      <c r="E91" s="2262"/>
      <c r="F91" s="2262"/>
      <c r="G91" s="2262"/>
      <c r="H91" s="2263"/>
      <c r="I91" s="716" t="s">
        <v>945</v>
      </c>
      <c r="J91" s="1908">
        <f>4700/10000</f>
        <v>0.47</v>
      </c>
      <c r="K91" s="1906">
        <f>3600/10000</f>
        <v>0.36</v>
      </c>
      <c r="L91" s="1659">
        <f>'[1]лаб.'!$J$189</f>
        <v>1.4803000000000002</v>
      </c>
      <c r="M91" s="1653">
        <f>J91+L91</f>
        <v>1.9503000000000001</v>
      </c>
      <c r="N91" s="1587">
        <f>K91+L91</f>
        <v>1.8403</v>
      </c>
      <c r="O91" s="1591">
        <f>M91/10000</f>
        <v>0.00019503</v>
      </c>
      <c r="P91" s="1592">
        <f>N91/10000</f>
        <v>0.00018403</v>
      </c>
      <c r="Q91" s="482"/>
      <c r="R91" s="2567"/>
      <c r="S91" s="2555"/>
      <c r="T91" s="2568">
        <f>V91*1.2</f>
        <v>4680</v>
      </c>
      <c r="U91" s="2568">
        <f>W91*1.2</f>
        <v>3600</v>
      </c>
      <c r="V91" s="2567">
        <v>3900</v>
      </c>
      <c r="W91" s="2555">
        <v>3000</v>
      </c>
      <c r="X91" s="2567">
        <f>Z91*1.15</f>
        <v>1380</v>
      </c>
      <c r="Y91" s="2567">
        <f>AA91*1.15</f>
        <v>1092.5</v>
      </c>
      <c r="Z91" s="2567">
        <v>1200</v>
      </c>
      <c r="AA91" s="2555">
        <v>950</v>
      </c>
    </row>
    <row r="92" spans="1:27" ht="15.75" customHeight="1">
      <c r="A92" s="236"/>
      <c r="B92" s="2264"/>
      <c r="C92" s="2262"/>
      <c r="D92" s="2262"/>
      <c r="E92" s="2262"/>
      <c r="F92" s="2262"/>
      <c r="G92" s="2262"/>
      <c r="H92" s="2263"/>
      <c r="I92" s="716"/>
      <c r="J92" s="1906"/>
      <c r="K92" s="1913"/>
      <c r="L92" s="1659"/>
      <c r="M92" s="1654"/>
      <c r="N92" s="1587"/>
      <c r="O92" s="1580"/>
      <c r="P92" s="1314"/>
      <c r="R92" s="2567"/>
      <c r="S92" s="2555"/>
      <c r="V92" s="2567"/>
      <c r="W92" s="2555"/>
      <c r="X92" s="2567"/>
      <c r="Y92" s="2555"/>
      <c r="Z92" s="2567"/>
      <c r="AA92" s="2555"/>
    </row>
    <row r="93" spans="1:27" ht="15" customHeight="1" hidden="1">
      <c r="A93" s="238" t="s">
        <v>299</v>
      </c>
      <c r="B93" s="2258" t="s">
        <v>50</v>
      </c>
      <c r="C93" s="2259"/>
      <c r="D93" s="2259"/>
      <c r="E93" s="2259"/>
      <c r="F93" s="2259"/>
      <c r="G93" s="2259"/>
      <c r="H93" s="2096" t="s">
        <v>339</v>
      </c>
      <c r="I93" s="716" t="s">
        <v>945</v>
      </c>
      <c r="J93" s="1906">
        <v>0.94</v>
      </c>
      <c r="K93" s="1913" t="s">
        <v>622</v>
      </c>
      <c r="L93" s="1659">
        <f>'[1]лаб.'!$J$360</f>
        <v>2.9629999999999996</v>
      </c>
      <c r="M93" s="1654">
        <f>J93+L93</f>
        <v>3.9029999999999996</v>
      </c>
      <c r="N93" s="1587" t="s">
        <v>622</v>
      </c>
      <c r="O93" s="1580"/>
      <c r="P93" s="1314"/>
      <c r="R93" s="2567"/>
      <c r="S93" s="2555"/>
      <c r="V93" s="2567"/>
      <c r="W93" s="2555"/>
      <c r="X93" s="2567"/>
      <c r="Y93" s="2555"/>
      <c r="Z93" s="2567"/>
      <c r="AA93" s="2555"/>
    </row>
    <row r="94" spans="1:27" ht="19.5" customHeight="1">
      <c r="A94" s="238"/>
      <c r="B94" s="2258"/>
      <c r="C94" s="2259"/>
      <c r="D94" s="2259"/>
      <c r="E94" s="2259"/>
      <c r="F94" s="2259"/>
      <c r="G94" s="2259"/>
      <c r="H94" s="1617" t="s">
        <v>51</v>
      </c>
      <c r="I94" s="716" t="s">
        <v>945</v>
      </c>
      <c r="J94" s="1906">
        <f>9400/10000</f>
        <v>0.94</v>
      </c>
      <c r="K94" s="1913" t="s">
        <v>622</v>
      </c>
      <c r="L94" s="1659">
        <f>'[1]лаб.'!$J$328</f>
        <v>3.272</v>
      </c>
      <c r="M94" s="1654">
        <f>J94+L94</f>
        <v>4.212</v>
      </c>
      <c r="N94" s="1587" t="s">
        <v>622</v>
      </c>
      <c r="O94" s="1591">
        <f>M94/10000</f>
        <v>0.0004212</v>
      </c>
      <c r="P94" s="1592" t="s">
        <v>622</v>
      </c>
      <c r="Q94" s="482"/>
      <c r="R94" s="2567"/>
      <c r="S94" s="2555"/>
      <c r="T94" s="2568">
        <f>V94*1.2</f>
        <v>9360</v>
      </c>
      <c r="U94" s="2568"/>
      <c r="V94" s="2567">
        <v>7800</v>
      </c>
      <c r="W94" s="2555" t="s">
        <v>622</v>
      </c>
      <c r="X94" s="2567">
        <f>Z94*1.15</f>
        <v>2760</v>
      </c>
      <c r="Y94" s="2567"/>
      <c r="Z94" s="2567">
        <v>2400</v>
      </c>
      <c r="AA94" s="2555" t="s">
        <v>622</v>
      </c>
    </row>
    <row r="95" spans="1:27" ht="19.5">
      <c r="A95" s="238"/>
      <c r="B95" s="1610"/>
      <c r="C95" s="1315"/>
      <c r="D95" s="1315"/>
      <c r="E95" s="1315"/>
      <c r="F95" s="1315"/>
      <c r="G95" s="1315"/>
      <c r="H95" s="1617" t="s">
        <v>52</v>
      </c>
      <c r="I95" s="716" t="s">
        <v>945</v>
      </c>
      <c r="J95" s="1906">
        <f>9400/10000</f>
        <v>0.94</v>
      </c>
      <c r="K95" s="1913" t="s">
        <v>622</v>
      </c>
      <c r="L95" s="1659">
        <f>'[1]лаб.'!$J$336</f>
        <v>3.441</v>
      </c>
      <c r="M95" s="1654">
        <f>J95+L95</f>
        <v>4.381</v>
      </c>
      <c r="N95" s="1587" t="s">
        <v>622</v>
      </c>
      <c r="O95" s="1591">
        <f>M95/10000</f>
        <v>0.0004381</v>
      </c>
      <c r="P95" s="1592" t="s">
        <v>622</v>
      </c>
      <c r="Q95" s="482"/>
      <c r="R95" s="2567"/>
      <c r="S95" s="2555"/>
      <c r="T95" s="2568">
        <f>V95*1.2</f>
        <v>9360</v>
      </c>
      <c r="U95" s="2568"/>
      <c r="V95" s="2567">
        <v>7800</v>
      </c>
      <c r="W95" s="2555" t="s">
        <v>622</v>
      </c>
      <c r="X95" s="2567">
        <f>Z95*1.15</f>
        <v>2760</v>
      </c>
      <c r="Y95" s="2567"/>
      <c r="Z95" s="2567">
        <v>2400</v>
      </c>
      <c r="AA95" s="2555" t="s">
        <v>622</v>
      </c>
    </row>
    <row r="96" spans="1:27" ht="15" customHeight="1">
      <c r="A96" s="238"/>
      <c r="B96" s="1316"/>
      <c r="C96" s="1315"/>
      <c r="D96" s="1315"/>
      <c r="E96" s="1315"/>
      <c r="F96" s="1315"/>
      <c r="G96" s="2272" t="s">
        <v>53</v>
      </c>
      <c r="H96" s="2263"/>
      <c r="I96" s="716" t="s">
        <v>945</v>
      </c>
      <c r="J96" s="1906">
        <f>9400/10000</f>
        <v>0.94</v>
      </c>
      <c r="K96" s="1913" t="s">
        <v>622</v>
      </c>
      <c r="L96" s="1659">
        <f>'[1]лаб.'!$J$344</f>
        <v>3.4372</v>
      </c>
      <c r="M96" s="1654">
        <f>J96+L96</f>
        <v>4.3772</v>
      </c>
      <c r="N96" s="1587" t="s">
        <v>622</v>
      </c>
      <c r="O96" s="1591">
        <f>M96/10000</f>
        <v>0.00043772</v>
      </c>
      <c r="P96" s="1592" t="s">
        <v>622</v>
      </c>
      <c r="Q96" s="482"/>
      <c r="R96" s="2567"/>
      <c r="S96" s="2555"/>
      <c r="T96" s="2568">
        <f>V96*1.2</f>
        <v>9360</v>
      </c>
      <c r="U96" s="2568"/>
      <c r="V96" s="2567">
        <v>7800</v>
      </c>
      <c r="W96" s="2555" t="s">
        <v>622</v>
      </c>
      <c r="X96" s="2567">
        <f>Z96*1.15</f>
        <v>2760</v>
      </c>
      <c r="Y96" s="2567"/>
      <c r="Z96" s="2567">
        <v>2400</v>
      </c>
      <c r="AA96" s="2555" t="s">
        <v>622</v>
      </c>
    </row>
    <row r="97" spans="1:28" s="232" customFormat="1" ht="19.5">
      <c r="A97" s="241"/>
      <c r="B97" s="1607"/>
      <c r="C97" s="1608"/>
      <c r="D97" s="1608"/>
      <c r="E97" s="1608"/>
      <c r="F97" s="1608"/>
      <c r="G97" s="2271" t="s">
        <v>54</v>
      </c>
      <c r="H97" s="2263"/>
      <c r="I97" s="720" t="s">
        <v>945</v>
      </c>
      <c r="J97" s="1906">
        <f>9400/10000</f>
        <v>0.94</v>
      </c>
      <c r="K97" s="1913" t="s">
        <v>622</v>
      </c>
      <c r="L97" s="1659">
        <f>'[1]лаб.'!$J$352</f>
        <v>3.5332</v>
      </c>
      <c r="M97" s="1924">
        <f>J97+L97</f>
        <v>4.4732</v>
      </c>
      <c r="N97" s="1925" t="s">
        <v>622</v>
      </c>
      <c r="O97" s="1591">
        <f>M97/10000</f>
        <v>0.00044732</v>
      </c>
      <c r="P97" s="1592" t="s">
        <v>622</v>
      </c>
      <c r="Q97" s="482"/>
      <c r="R97" s="2567"/>
      <c r="S97" s="2555"/>
      <c r="T97" s="2568">
        <f>V97*1.2</f>
        <v>9360</v>
      </c>
      <c r="U97" s="2568"/>
      <c r="V97" s="2567">
        <v>7800</v>
      </c>
      <c r="W97" s="2555" t="s">
        <v>622</v>
      </c>
      <c r="X97" s="2567">
        <v>2350</v>
      </c>
      <c r="Y97" s="2555" t="s">
        <v>622</v>
      </c>
      <c r="Z97" s="2567">
        <v>2350</v>
      </c>
      <c r="AA97" s="2555" t="s">
        <v>622</v>
      </c>
      <c r="AB97" s="2565"/>
    </row>
    <row r="98" spans="1:27" ht="14.25" customHeight="1">
      <c r="A98" s="236" t="s">
        <v>87</v>
      </c>
      <c r="B98" s="2258" t="s">
        <v>55</v>
      </c>
      <c r="C98" s="2262"/>
      <c r="D98" s="2262"/>
      <c r="E98" s="2262"/>
      <c r="F98" s="2262"/>
      <c r="G98" s="2262"/>
      <c r="H98" s="2263"/>
      <c r="I98" s="716"/>
      <c r="J98" s="1906"/>
      <c r="K98" s="1913"/>
      <c r="L98" s="1659"/>
      <c r="M98" s="1654"/>
      <c r="N98" s="1587"/>
      <c r="O98" s="1580"/>
      <c r="P98" s="1314"/>
      <c r="R98" s="2567"/>
      <c r="S98" s="2555"/>
      <c r="V98" s="2567"/>
      <c r="W98" s="2555"/>
      <c r="X98" s="2567"/>
      <c r="Y98" s="2555"/>
      <c r="Z98" s="2567"/>
      <c r="AA98" s="2555"/>
    </row>
    <row r="99" spans="1:27" ht="14.25" customHeight="1">
      <c r="A99" s="236"/>
      <c r="B99" s="2258" t="s">
        <v>155</v>
      </c>
      <c r="C99" s="2262"/>
      <c r="D99" s="2262"/>
      <c r="E99" s="2262"/>
      <c r="F99" s="1618"/>
      <c r="G99" s="2272" t="str">
        <f>'[1]лаб.'!$H$206</f>
        <v>мужчины</v>
      </c>
      <c r="H99" s="2263"/>
      <c r="I99" s="716" t="s">
        <v>945</v>
      </c>
      <c r="J99" s="1906">
        <f>20600/10000</f>
        <v>2.06</v>
      </c>
      <c r="K99" s="1913">
        <f>7200/10000</f>
        <v>0.72</v>
      </c>
      <c r="L99" s="1659">
        <f>'[1]лаб.'!$J$206</f>
        <v>3.343</v>
      </c>
      <c r="M99" s="1654">
        <f>J99+L99</f>
        <v>5.4030000000000005</v>
      </c>
      <c r="N99" s="1587">
        <f>K99+L99</f>
        <v>4.063</v>
      </c>
      <c r="O99" s="1591">
        <f aca="true" t="shared" si="22" ref="O99:P101">M99/10000</f>
        <v>0.0005403000000000001</v>
      </c>
      <c r="P99" s="1592">
        <f t="shared" si="22"/>
        <v>0.00040629999999999996</v>
      </c>
      <c r="Q99" s="482"/>
      <c r="R99" s="2567"/>
      <c r="S99" s="2555"/>
      <c r="T99" s="2568">
        <f aca="true" t="shared" si="23" ref="T99:U101">V99*1.2</f>
        <v>20640</v>
      </c>
      <c r="U99" s="2568">
        <f t="shared" si="23"/>
        <v>7200</v>
      </c>
      <c r="V99" s="2567">
        <v>17200</v>
      </c>
      <c r="W99" s="2555">
        <v>6000</v>
      </c>
      <c r="X99" s="2567">
        <f aca="true" t="shared" si="24" ref="X99:Y101">Z99*1.15</f>
        <v>5232.5</v>
      </c>
      <c r="Y99" s="2567">
        <f t="shared" si="24"/>
        <v>1839.9999999999998</v>
      </c>
      <c r="Z99" s="2567">
        <v>4550</v>
      </c>
      <c r="AA99" s="2555">
        <v>1600</v>
      </c>
    </row>
    <row r="100" spans="1:27" ht="14.25" customHeight="1">
      <c r="A100" s="236"/>
      <c r="B100" s="1316"/>
      <c r="C100" s="1315"/>
      <c r="D100" s="1315"/>
      <c r="E100" s="1315"/>
      <c r="F100" s="1618"/>
      <c r="G100" s="2272" t="str">
        <f>'[1]лаб.'!$H$207</f>
        <v>женщины</v>
      </c>
      <c r="H100" s="2263"/>
      <c r="I100" s="716" t="s">
        <v>945</v>
      </c>
      <c r="J100" s="1906">
        <f>20600/10000</f>
        <v>2.06</v>
      </c>
      <c r="K100" s="1913">
        <f>7200/10000</f>
        <v>0.72</v>
      </c>
      <c r="L100" s="1659">
        <f>'[1]лаб.'!$J$207</f>
        <v>9.8866</v>
      </c>
      <c r="M100" s="1654">
        <f>J100+L100</f>
        <v>11.9466</v>
      </c>
      <c r="N100" s="1587">
        <f>K100+L100</f>
        <v>10.6066</v>
      </c>
      <c r="O100" s="1591">
        <f t="shared" si="22"/>
        <v>0.00119466</v>
      </c>
      <c r="P100" s="1592">
        <f t="shared" si="22"/>
        <v>0.00106066</v>
      </c>
      <c r="Q100" s="482"/>
      <c r="R100" s="2567"/>
      <c r="S100" s="2555"/>
      <c r="T100" s="2568">
        <f t="shared" si="23"/>
        <v>20640</v>
      </c>
      <c r="U100" s="2568">
        <f t="shared" si="23"/>
        <v>7200</v>
      </c>
      <c r="V100" s="2567">
        <v>17200</v>
      </c>
      <c r="W100" s="2555">
        <v>6000</v>
      </c>
      <c r="X100" s="2567">
        <f t="shared" si="24"/>
        <v>5232.5</v>
      </c>
      <c r="Y100" s="2567">
        <f t="shared" si="24"/>
        <v>1839.9999999999998</v>
      </c>
      <c r="Z100" s="2567">
        <v>4550</v>
      </c>
      <c r="AA100" s="2555">
        <v>1600</v>
      </c>
    </row>
    <row r="101" spans="1:27" ht="14.25" customHeight="1">
      <c r="A101" s="236"/>
      <c r="B101" s="1316"/>
      <c r="C101" s="1315"/>
      <c r="D101" s="1315"/>
      <c r="E101" s="1315"/>
      <c r="F101" s="1618"/>
      <c r="G101" s="2272" t="str">
        <f>'[1]лаб.'!$H$208</f>
        <v>СА 19-9</v>
      </c>
      <c r="H101" s="2263"/>
      <c r="I101" s="716" t="s">
        <v>945</v>
      </c>
      <c r="J101" s="1906">
        <f>20600/10000</f>
        <v>2.06</v>
      </c>
      <c r="K101" s="1913">
        <f>7200/10000</f>
        <v>0.72</v>
      </c>
      <c r="L101" s="1659">
        <f>'[1]лаб.'!$J$208</f>
        <v>11.5797</v>
      </c>
      <c r="M101" s="1654">
        <f>J101+L101</f>
        <v>13.639700000000001</v>
      </c>
      <c r="N101" s="1587">
        <f>K101+L101</f>
        <v>12.299700000000001</v>
      </c>
      <c r="O101" s="1591">
        <f t="shared" si="22"/>
        <v>0.0013639700000000002</v>
      </c>
      <c r="P101" s="1592">
        <f t="shared" si="22"/>
        <v>0.0012299700000000002</v>
      </c>
      <c r="Q101" s="482"/>
      <c r="R101" s="2567"/>
      <c r="S101" s="2555"/>
      <c r="T101" s="2568">
        <f t="shared" si="23"/>
        <v>20640</v>
      </c>
      <c r="U101" s="2568">
        <f t="shared" si="23"/>
        <v>7200</v>
      </c>
      <c r="V101" s="2567">
        <v>17200</v>
      </c>
      <c r="W101" s="2555">
        <v>6000</v>
      </c>
      <c r="X101" s="2567">
        <f t="shared" si="24"/>
        <v>5232.5</v>
      </c>
      <c r="Y101" s="2567">
        <f t="shared" si="24"/>
        <v>1839.9999999999998</v>
      </c>
      <c r="Z101" s="2567">
        <v>4550</v>
      </c>
      <c r="AA101" s="2555">
        <v>1600</v>
      </c>
    </row>
    <row r="102" spans="1:27" ht="17.25">
      <c r="A102" s="214">
        <v>6</v>
      </c>
      <c r="B102" s="1619" t="s">
        <v>58</v>
      </c>
      <c r="C102" s="310"/>
      <c r="D102" s="310"/>
      <c r="E102" s="310"/>
      <c r="F102" s="310"/>
      <c r="G102" s="310"/>
      <c r="H102" s="318"/>
      <c r="I102" s="253"/>
      <c r="J102" s="1906"/>
      <c r="K102" s="1913"/>
      <c r="L102" s="1659"/>
      <c r="M102" s="1654"/>
      <c r="N102" s="1923"/>
      <c r="O102" s="1580"/>
      <c r="P102" s="1314"/>
      <c r="R102" s="2555"/>
      <c r="S102" s="2555"/>
      <c r="V102" s="2555"/>
      <c r="W102" s="2555"/>
      <c r="X102" s="2555"/>
      <c r="Y102" s="2555"/>
      <c r="Z102" s="2555"/>
      <c r="AA102" s="2555"/>
    </row>
    <row r="103" spans="1:27" ht="15" customHeight="1">
      <c r="A103" s="238" t="s">
        <v>205</v>
      </c>
      <c r="B103" s="2276" t="s">
        <v>59</v>
      </c>
      <c r="C103" s="2262"/>
      <c r="D103" s="2262"/>
      <c r="E103" s="2262"/>
      <c r="F103" s="2262"/>
      <c r="G103" s="2262"/>
      <c r="H103" s="2263"/>
      <c r="I103" s="253"/>
      <c r="J103" s="1906"/>
      <c r="K103" s="1913"/>
      <c r="L103" s="1659"/>
      <c r="M103" s="1654"/>
      <c r="N103" s="1923"/>
      <c r="O103" s="1580"/>
      <c r="P103" s="1314"/>
      <c r="R103" s="2555"/>
      <c r="S103" s="2555"/>
      <c r="V103" s="2555"/>
      <c r="W103" s="2555"/>
      <c r="X103" s="2555"/>
      <c r="Y103" s="2555"/>
      <c r="Z103" s="2555"/>
      <c r="AA103" s="2555"/>
    </row>
    <row r="104" spans="1:27" ht="19.5">
      <c r="A104" s="238"/>
      <c r="B104" s="2264"/>
      <c r="C104" s="2262"/>
      <c r="D104" s="2262"/>
      <c r="E104" s="2262"/>
      <c r="F104" s="2262"/>
      <c r="G104" s="2262"/>
      <c r="H104" s="2263"/>
      <c r="I104" s="716" t="s">
        <v>945</v>
      </c>
      <c r="J104" s="1906">
        <f>20600/10000</f>
        <v>2.06</v>
      </c>
      <c r="K104" s="1922">
        <f>11400/10000</f>
        <v>1.14</v>
      </c>
      <c r="L104" s="1659">
        <f>'[1]лаб.'!$J$223</f>
        <v>0.8747200000000002</v>
      </c>
      <c r="M104" s="1654">
        <f>J104+L104</f>
        <v>2.9347200000000004</v>
      </c>
      <c r="N104" s="1587">
        <f>K104+L104</f>
        <v>2.01472</v>
      </c>
      <c r="O104" s="1591">
        <f>M104/10000</f>
        <v>0.000293472</v>
      </c>
      <c r="P104" s="1592">
        <f>N104/10000</f>
        <v>0.000201472</v>
      </c>
      <c r="Q104" s="482"/>
      <c r="R104" s="2555"/>
      <c r="S104" s="2555"/>
      <c r="T104" s="2568">
        <f>V104*1.2</f>
        <v>20640</v>
      </c>
      <c r="U104" s="2568">
        <f>W104*1.2</f>
        <v>11400</v>
      </c>
      <c r="V104" s="2555">
        <v>17200</v>
      </c>
      <c r="W104" s="2555">
        <v>9500</v>
      </c>
      <c r="X104" s="2567">
        <f>Z104*1.15</f>
        <v>5232.5</v>
      </c>
      <c r="Y104" s="2567">
        <f>AA104*1.15</f>
        <v>2875</v>
      </c>
      <c r="Z104" s="2555">
        <v>4550</v>
      </c>
      <c r="AA104" s="2555">
        <v>2500</v>
      </c>
    </row>
    <row r="105" spans="1:27" ht="15" customHeight="1">
      <c r="A105" s="238" t="s">
        <v>300</v>
      </c>
      <c r="B105" s="2258" t="s">
        <v>60</v>
      </c>
      <c r="C105" s="2262"/>
      <c r="D105" s="2262"/>
      <c r="E105" s="2262"/>
      <c r="F105" s="2262"/>
      <c r="G105" s="2262"/>
      <c r="H105" s="2263"/>
      <c r="I105" s="253"/>
      <c r="J105" s="1906"/>
      <c r="K105" s="1913"/>
      <c r="L105" s="1659"/>
      <c r="M105" s="1654"/>
      <c r="N105" s="1923"/>
      <c r="O105" s="1580"/>
      <c r="P105" s="1314"/>
      <c r="R105" s="2555"/>
      <c r="S105" s="2555"/>
      <c r="V105" s="2555"/>
      <c r="W105" s="2555"/>
      <c r="X105" s="2555"/>
      <c r="Y105" s="2555"/>
      <c r="Z105" s="2555"/>
      <c r="AA105" s="2555"/>
    </row>
    <row r="106" spans="1:27" ht="19.5">
      <c r="A106" s="238"/>
      <c r="B106" s="2264"/>
      <c r="C106" s="2262"/>
      <c r="D106" s="2262"/>
      <c r="E106" s="2262"/>
      <c r="F106" s="2262"/>
      <c r="G106" s="2262"/>
      <c r="H106" s="2263"/>
      <c r="I106" s="716" t="s">
        <v>945</v>
      </c>
      <c r="J106" s="1906">
        <f>3100/10000</f>
        <v>0.31</v>
      </c>
      <c r="K106" s="1913">
        <f>2000/10000</f>
        <v>0.2</v>
      </c>
      <c r="L106" s="1659">
        <f>'[1]лаб.'!$J$230</f>
        <v>1.62919</v>
      </c>
      <c r="M106" s="1654">
        <f>J106+L106</f>
        <v>1.93919</v>
      </c>
      <c r="N106" s="1587">
        <f>K106+L106</f>
        <v>1.8291899999999999</v>
      </c>
      <c r="O106" s="1591">
        <f>M106/10000</f>
        <v>0.000193919</v>
      </c>
      <c r="P106" s="1592">
        <f>N106/10000</f>
        <v>0.00018291899999999997</v>
      </c>
      <c r="Q106" s="482"/>
      <c r="R106" s="2555"/>
      <c r="S106" s="2555"/>
      <c r="T106" s="2568">
        <f>V106*1.2</f>
        <v>3120</v>
      </c>
      <c r="U106" s="2568">
        <f>W106*1.2</f>
        <v>2040</v>
      </c>
      <c r="V106" s="2555">
        <v>2600</v>
      </c>
      <c r="W106" s="2555">
        <v>1700</v>
      </c>
      <c r="X106" s="2567">
        <f>Z106*1.15</f>
        <v>804.9999999999999</v>
      </c>
      <c r="Y106" s="2567">
        <f>AA106*1.15</f>
        <v>517.5</v>
      </c>
      <c r="Z106" s="2555">
        <v>700</v>
      </c>
      <c r="AA106" s="2555">
        <v>450</v>
      </c>
    </row>
    <row r="107" spans="1:27" ht="15" customHeight="1">
      <c r="A107" s="238" t="s">
        <v>301</v>
      </c>
      <c r="B107" s="2258" t="s">
        <v>61</v>
      </c>
      <c r="C107" s="2262"/>
      <c r="D107" s="2262"/>
      <c r="E107" s="2262"/>
      <c r="F107" s="2262"/>
      <c r="G107" s="2262"/>
      <c r="H107" s="2263"/>
      <c r="I107" s="716" t="s">
        <v>945</v>
      </c>
      <c r="J107" s="1908">
        <f>11000/10000</f>
        <v>1.1</v>
      </c>
      <c r="K107" s="1913">
        <f>7900/10000</f>
        <v>0.79</v>
      </c>
      <c r="L107" s="1659">
        <f>'[1]лаб.'!$J$238</f>
        <v>0.3777765</v>
      </c>
      <c r="M107" s="1654">
        <f>J107+L107</f>
        <v>1.4777765</v>
      </c>
      <c r="N107" s="1587">
        <f>K107+L107</f>
        <v>1.1677765</v>
      </c>
      <c r="O107" s="1591">
        <f>M107/10000</f>
        <v>0.00014777765</v>
      </c>
      <c r="P107" s="1592">
        <f>N107/10000</f>
        <v>0.00011677765</v>
      </c>
      <c r="Q107" s="482"/>
      <c r="R107" s="2555"/>
      <c r="S107" s="2555"/>
      <c r="T107" s="2568">
        <f>V107*1.2</f>
        <v>11040</v>
      </c>
      <c r="U107" s="2568">
        <f>W107*1.2</f>
        <v>7920</v>
      </c>
      <c r="V107" s="2555">
        <v>9200</v>
      </c>
      <c r="W107" s="2555">
        <v>6600</v>
      </c>
      <c r="X107" s="2567">
        <f>Z107*1.15</f>
        <v>2760</v>
      </c>
      <c r="Y107" s="2567">
        <f>AA107*1.15</f>
        <v>1954.9999999999998</v>
      </c>
      <c r="Z107" s="2555">
        <v>2400</v>
      </c>
      <c r="AA107" s="2555">
        <v>1700</v>
      </c>
    </row>
    <row r="108" spans="1:27" ht="15" customHeight="1">
      <c r="A108" s="238" t="s">
        <v>302</v>
      </c>
      <c r="B108" s="2373" t="s">
        <v>258</v>
      </c>
      <c r="C108" s="2262"/>
      <c r="D108" s="2262"/>
      <c r="E108" s="2262"/>
      <c r="F108" s="2262"/>
      <c r="G108" s="2262"/>
      <c r="H108" s="2263"/>
      <c r="I108" s="716"/>
      <c r="J108" s="1906"/>
      <c r="K108" s="1913"/>
      <c r="L108" s="1659"/>
      <c r="M108" s="1654"/>
      <c r="N108" s="1587"/>
      <c r="O108" s="1580"/>
      <c r="P108" s="1314"/>
      <c r="R108" s="2555"/>
      <c r="S108" s="2555"/>
      <c r="V108" s="2555"/>
      <c r="W108" s="2555"/>
      <c r="X108" s="2555"/>
      <c r="Y108" s="2555"/>
      <c r="Z108" s="2555"/>
      <c r="AA108" s="2555"/>
    </row>
    <row r="109" spans="1:27" ht="29.25" customHeight="1">
      <c r="A109" s="238"/>
      <c r="B109" s="2264"/>
      <c r="C109" s="2262"/>
      <c r="D109" s="2262"/>
      <c r="E109" s="2262"/>
      <c r="F109" s="2262"/>
      <c r="G109" s="2262"/>
      <c r="H109" s="2263"/>
      <c r="I109" s="716" t="s">
        <v>945</v>
      </c>
      <c r="J109" s="1906">
        <f>8500/10000</f>
        <v>0.85</v>
      </c>
      <c r="K109" s="1906">
        <f>8500/10000</f>
        <v>0.85</v>
      </c>
      <c r="L109" s="1659">
        <f>'[1]лаб.'!$J$245/10000</f>
        <v>5.24</v>
      </c>
      <c r="M109" s="1654">
        <f>J109+L109</f>
        <v>6.09</v>
      </c>
      <c r="N109" s="1587">
        <f>K109+L109</f>
        <v>6.09</v>
      </c>
      <c r="O109" s="1591">
        <f>M109/10000</f>
        <v>0.000609</v>
      </c>
      <c r="P109" s="1592">
        <f>N109/10000</f>
        <v>0.000609</v>
      </c>
      <c r="Q109" s="482"/>
      <c r="R109" s="2555"/>
      <c r="S109" s="2555"/>
      <c r="T109" s="2568">
        <f>V109*1.2</f>
        <v>8520</v>
      </c>
      <c r="U109" s="2568">
        <f>W109*1.2</f>
        <v>8520</v>
      </c>
      <c r="V109" s="2555">
        <v>7100</v>
      </c>
      <c r="W109" s="2555">
        <v>7100</v>
      </c>
      <c r="X109" s="2567">
        <f>Z109*1.15</f>
        <v>6842.499999999999</v>
      </c>
      <c r="Y109" s="2567">
        <f>AA109*1.15</f>
        <v>6842.499999999999</v>
      </c>
      <c r="Z109" s="2555">
        <v>5950</v>
      </c>
      <c r="AA109" s="2555">
        <v>5950</v>
      </c>
    </row>
    <row r="110" spans="1:27" ht="14.25" customHeight="1">
      <c r="A110" s="214">
        <v>7</v>
      </c>
      <c r="B110" s="2291" t="s">
        <v>62</v>
      </c>
      <c r="C110" s="2262"/>
      <c r="D110" s="2262"/>
      <c r="E110" s="2262"/>
      <c r="F110" s="2262"/>
      <c r="G110" s="2262"/>
      <c r="H110" s="2263"/>
      <c r="I110" s="253"/>
      <c r="J110" s="1906"/>
      <c r="K110" s="1913"/>
      <c r="L110" s="1659"/>
      <c r="M110" s="1654"/>
      <c r="N110" s="1923"/>
      <c r="O110" s="1580"/>
      <c r="P110" s="1314"/>
      <c r="R110" s="2555"/>
      <c r="S110" s="2555"/>
      <c r="V110" s="2555"/>
      <c r="W110" s="2555"/>
      <c r="X110" s="2555"/>
      <c r="Y110" s="2555"/>
      <c r="Z110" s="2555"/>
      <c r="AA110" s="2555"/>
    </row>
    <row r="111" spans="1:27" ht="15" customHeight="1">
      <c r="A111" s="238" t="s">
        <v>303</v>
      </c>
      <c r="B111" s="2258" t="s">
        <v>63</v>
      </c>
      <c r="C111" s="2262"/>
      <c r="D111" s="2262"/>
      <c r="E111" s="2262"/>
      <c r="F111" s="2262"/>
      <c r="G111" s="2262"/>
      <c r="H111" s="2263"/>
      <c r="I111" s="253"/>
      <c r="J111" s="1906"/>
      <c r="K111" s="1913"/>
      <c r="L111" s="1659"/>
      <c r="M111" s="1654"/>
      <c r="N111" s="1923"/>
      <c r="O111" s="1580"/>
      <c r="P111" s="1314"/>
      <c r="R111" s="2555"/>
      <c r="S111" s="2555"/>
      <c r="V111" s="2555"/>
      <c r="W111" s="2555"/>
      <c r="X111" s="2555"/>
      <c r="Y111" s="2555"/>
      <c r="Z111" s="2555"/>
      <c r="AA111" s="2555"/>
    </row>
    <row r="112" spans="1:27" ht="19.5">
      <c r="A112" s="238"/>
      <c r="B112" s="2264"/>
      <c r="C112" s="2262"/>
      <c r="D112" s="2262"/>
      <c r="E112" s="2262"/>
      <c r="F112" s="2262"/>
      <c r="G112" s="2262"/>
      <c r="H112" s="2263"/>
      <c r="I112" s="716" t="s">
        <v>945</v>
      </c>
      <c r="J112" s="1906">
        <f>15800/10000</f>
        <v>1.58</v>
      </c>
      <c r="K112" s="1913">
        <f>9700/10000</f>
        <v>0.97</v>
      </c>
      <c r="L112" s="1659">
        <f>'[1]лаб.'!$J$252</f>
        <v>1.01074</v>
      </c>
      <c r="M112" s="1654">
        <f>J112+L112</f>
        <v>2.5907400000000003</v>
      </c>
      <c r="N112" s="1587">
        <f>K112+L112</f>
        <v>1.98074</v>
      </c>
      <c r="O112" s="1591">
        <f>M112/10000</f>
        <v>0.00025907400000000003</v>
      </c>
      <c r="P112" s="1592">
        <f>N112/10000</f>
        <v>0.000198074</v>
      </c>
      <c r="Q112" s="482"/>
      <c r="R112" s="2555"/>
      <c r="S112" s="2555"/>
      <c r="T112" s="2568">
        <f>V112*1.2</f>
        <v>15840</v>
      </c>
      <c r="U112" s="2568">
        <f>W112*1.2</f>
        <v>9720</v>
      </c>
      <c r="V112" s="2555">
        <v>13200</v>
      </c>
      <c r="W112" s="2555">
        <v>8100</v>
      </c>
      <c r="X112" s="2567">
        <f>Z112*1.15</f>
        <v>3967.4999999999995</v>
      </c>
      <c r="Y112" s="2567">
        <f>AA112*1.15</f>
        <v>2415</v>
      </c>
      <c r="Z112" s="2555">
        <v>3450</v>
      </c>
      <c r="AA112" s="2555">
        <v>2100</v>
      </c>
    </row>
    <row r="113" spans="1:27" ht="17.25">
      <c r="A113" s="214">
        <v>8</v>
      </c>
      <c r="B113" s="1619" t="s">
        <v>64</v>
      </c>
      <c r="C113" s="310"/>
      <c r="D113" s="310"/>
      <c r="E113" s="310"/>
      <c r="F113" s="310"/>
      <c r="G113" s="310"/>
      <c r="H113" s="318"/>
      <c r="I113" s="253"/>
      <c r="J113" s="1906"/>
      <c r="K113" s="1913"/>
      <c r="L113" s="1659"/>
      <c r="M113" s="1654"/>
      <c r="N113" s="1923"/>
      <c r="O113" s="1580"/>
      <c r="P113" s="1314"/>
      <c r="R113" s="2555"/>
      <c r="S113" s="2555"/>
      <c r="V113" s="2555"/>
      <c r="W113" s="2555"/>
      <c r="X113" s="2555"/>
      <c r="Y113" s="2555"/>
      <c r="Z113" s="2555"/>
      <c r="AA113" s="2555"/>
    </row>
    <row r="114" spans="1:27" ht="17.25">
      <c r="A114" s="224"/>
      <c r="B114" s="2287" t="s">
        <v>65</v>
      </c>
      <c r="C114" s="2262"/>
      <c r="D114" s="2262"/>
      <c r="E114" s="2262"/>
      <c r="F114" s="2262"/>
      <c r="G114" s="2262"/>
      <c r="H114" s="2263"/>
      <c r="I114" s="253"/>
      <c r="J114" s="1906"/>
      <c r="K114" s="1913"/>
      <c r="L114" s="1659"/>
      <c r="M114" s="1654"/>
      <c r="N114" s="1587"/>
      <c r="O114" s="1580"/>
      <c r="P114" s="1314"/>
      <c r="R114" s="2555"/>
      <c r="S114" s="2555"/>
      <c r="V114" s="2555"/>
      <c r="W114" s="2555"/>
      <c r="X114" s="2555"/>
      <c r="Y114" s="2555"/>
      <c r="Z114" s="2555"/>
      <c r="AA114" s="2555"/>
    </row>
    <row r="115" spans="1:27" ht="15" customHeight="1" hidden="1">
      <c r="A115" s="224">
        <v>7.4</v>
      </c>
      <c r="B115" s="1609" t="s">
        <v>66</v>
      </c>
      <c r="C115" s="1613"/>
      <c r="D115" s="1614"/>
      <c r="E115" s="1614"/>
      <c r="F115" s="1615"/>
      <c r="G115" s="1620"/>
      <c r="H115" s="1621"/>
      <c r="I115" s="253"/>
      <c r="J115" s="1906"/>
      <c r="K115" s="1913"/>
      <c r="L115" s="1659"/>
      <c r="M115" s="1654"/>
      <c r="N115" s="1587"/>
      <c r="O115" s="1580"/>
      <c r="P115" s="1314"/>
      <c r="R115" s="2555"/>
      <c r="S115" s="2555"/>
      <c r="V115" s="2555"/>
      <c r="W115" s="2555"/>
      <c r="X115" s="2555"/>
      <c r="Y115" s="2555"/>
      <c r="Z115" s="2555"/>
      <c r="AA115" s="2555"/>
    </row>
    <row r="116" spans="1:27" ht="15" customHeight="1" hidden="1">
      <c r="A116" s="224"/>
      <c r="B116" s="1616" t="s">
        <v>622</v>
      </c>
      <c r="C116" s="1613" t="s">
        <v>67</v>
      </c>
      <c r="D116" s="1613"/>
      <c r="E116" s="1613"/>
      <c r="F116" s="1613"/>
      <c r="G116" s="1613"/>
      <c r="H116" s="1621"/>
      <c r="I116" s="716" t="s">
        <v>945</v>
      </c>
      <c r="J116" s="1906">
        <v>4410</v>
      </c>
      <c r="K116" s="1913"/>
      <c r="L116" s="1659"/>
      <c r="M116" s="1654"/>
      <c r="N116" s="1587"/>
      <c r="O116" s="1580"/>
      <c r="P116" s="1314"/>
      <c r="R116" s="2555"/>
      <c r="S116" s="2555"/>
      <c r="V116" s="2555">
        <v>4410</v>
      </c>
      <c r="W116" s="2555"/>
      <c r="X116" s="2555">
        <v>4410</v>
      </c>
      <c r="Y116" s="2555"/>
      <c r="Z116" s="2555">
        <v>4410</v>
      </c>
      <c r="AA116" s="2555"/>
    </row>
    <row r="117" spans="1:27" ht="15" customHeight="1" hidden="1">
      <c r="A117" s="224"/>
      <c r="B117" s="1616" t="s">
        <v>622</v>
      </c>
      <c r="C117" s="1613" t="s">
        <v>68</v>
      </c>
      <c r="D117" s="1613"/>
      <c r="E117" s="1613"/>
      <c r="F117" s="1613"/>
      <c r="G117" s="1613"/>
      <c r="H117" s="1621"/>
      <c r="I117" s="716" t="s">
        <v>945</v>
      </c>
      <c r="J117" s="1906">
        <v>4120</v>
      </c>
      <c r="K117" s="1913"/>
      <c r="L117" s="1659"/>
      <c r="M117" s="1654"/>
      <c r="N117" s="1587"/>
      <c r="O117" s="1580"/>
      <c r="P117" s="1314"/>
      <c r="R117" s="2555"/>
      <c r="S117" s="2555"/>
      <c r="V117" s="2555">
        <v>4120</v>
      </c>
      <c r="W117" s="2555"/>
      <c r="X117" s="2555">
        <v>4120</v>
      </c>
      <c r="Y117" s="2555"/>
      <c r="Z117" s="2555">
        <v>4120</v>
      </c>
      <c r="AA117" s="2555"/>
    </row>
    <row r="118" spans="1:27" ht="17.25">
      <c r="A118" s="221" t="s">
        <v>304</v>
      </c>
      <c r="B118" s="2378" t="s">
        <v>69</v>
      </c>
      <c r="C118" s="2262"/>
      <c r="D118" s="2262"/>
      <c r="E118" s="2262"/>
      <c r="F118" s="2262"/>
      <c r="G118" s="2262"/>
      <c r="H118" s="2263"/>
      <c r="I118" s="253"/>
      <c r="J118" s="1906"/>
      <c r="K118" s="1913"/>
      <c r="L118" s="1659"/>
      <c r="M118" s="1654"/>
      <c r="N118" s="1587"/>
      <c r="O118" s="1580"/>
      <c r="P118" s="1314"/>
      <c r="R118" s="2555"/>
      <c r="S118" s="2555"/>
      <c r="V118" s="2555"/>
      <c r="W118" s="2555"/>
      <c r="X118" s="2555"/>
      <c r="Y118" s="2555"/>
      <c r="Z118" s="2555"/>
      <c r="AA118" s="2555"/>
    </row>
    <row r="119" spans="1:27" ht="19.5">
      <c r="A119" s="221"/>
      <c r="B119" s="1622" t="s">
        <v>622</v>
      </c>
      <c r="C119" s="310" t="s">
        <v>70</v>
      </c>
      <c r="D119" s="310"/>
      <c r="E119" s="310"/>
      <c r="F119" s="310"/>
      <c r="G119" s="310"/>
      <c r="H119" s="318"/>
      <c r="I119" s="716" t="s">
        <v>945</v>
      </c>
      <c r="J119" s="1906">
        <f>24000/10000</f>
        <v>2.4</v>
      </c>
      <c r="K119" s="1913" t="s">
        <v>622</v>
      </c>
      <c r="L119" s="1908">
        <f>'[1]лаб.'!$J$297</f>
        <v>2.17273755</v>
      </c>
      <c r="M119" s="1654">
        <f>J119+L119</f>
        <v>4.572737549999999</v>
      </c>
      <c r="N119" s="1587" t="s">
        <v>622</v>
      </c>
      <c r="O119" s="1591">
        <f>M119/10000</f>
        <v>0.0004572737549999999</v>
      </c>
      <c r="P119" s="1592" t="s">
        <v>622</v>
      </c>
      <c r="R119" s="2555"/>
      <c r="S119" s="2555"/>
      <c r="T119" s="2568">
        <f>V119*1.2</f>
        <v>24000</v>
      </c>
      <c r="V119" s="2555">
        <v>20000</v>
      </c>
      <c r="W119" s="2555" t="s">
        <v>622</v>
      </c>
      <c r="X119" s="2567">
        <f>Z119*1.15</f>
        <v>6094.999999999999</v>
      </c>
      <c r="Y119" s="2567"/>
      <c r="Z119" s="2555">
        <v>5300</v>
      </c>
      <c r="AA119" s="2555" t="s">
        <v>622</v>
      </c>
    </row>
    <row r="120" spans="1:27" ht="15.75" customHeight="1" hidden="1">
      <c r="A120" s="221">
        <v>7.6</v>
      </c>
      <c r="B120" s="1609" t="s">
        <v>66</v>
      </c>
      <c r="C120" s="1613"/>
      <c r="D120" s="1614"/>
      <c r="E120" s="1614"/>
      <c r="F120" s="1615"/>
      <c r="G120" s="1615"/>
      <c r="H120" s="318"/>
      <c r="I120" s="716"/>
      <c r="J120" s="1906"/>
      <c r="K120" s="1913"/>
      <c r="L120" s="1908"/>
      <c r="M120" s="1654"/>
      <c r="N120" s="1587"/>
      <c r="O120" s="1580"/>
      <c r="P120" s="1314"/>
      <c r="R120" s="2555"/>
      <c r="S120" s="2555"/>
      <c r="V120" s="2555"/>
      <c r="W120" s="2555"/>
      <c r="X120" s="2555"/>
      <c r="Y120" s="2555"/>
      <c r="Z120" s="2555"/>
      <c r="AA120" s="2555"/>
    </row>
    <row r="121" spans="1:27" ht="15.75" customHeight="1" hidden="1">
      <c r="A121" s="221"/>
      <c r="B121" s="1616" t="s">
        <v>622</v>
      </c>
      <c r="C121" s="1613" t="s">
        <v>67</v>
      </c>
      <c r="D121" s="1613"/>
      <c r="E121" s="1613"/>
      <c r="F121" s="1613"/>
      <c r="G121" s="1613"/>
      <c r="H121" s="318"/>
      <c r="I121" s="716" t="s">
        <v>945</v>
      </c>
      <c r="J121" s="1906">
        <v>4350</v>
      </c>
      <c r="K121" s="1913"/>
      <c r="L121" s="1908"/>
      <c r="M121" s="1654"/>
      <c r="N121" s="1587"/>
      <c r="O121" s="1580"/>
      <c r="P121" s="1314"/>
      <c r="R121" s="2555"/>
      <c r="S121" s="2555"/>
      <c r="V121" s="2555">
        <v>4350</v>
      </c>
      <c r="W121" s="2555"/>
      <c r="X121" s="2555">
        <v>4350</v>
      </c>
      <c r="Y121" s="2555"/>
      <c r="Z121" s="2555">
        <v>4350</v>
      </c>
      <c r="AA121" s="2555"/>
    </row>
    <row r="122" spans="1:27" ht="15.75" customHeight="1" hidden="1">
      <c r="A122" s="221"/>
      <c r="B122" s="1616" t="s">
        <v>622</v>
      </c>
      <c r="C122" s="1613" t="s">
        <v>68</v>
      </c>
      <c r="D122" s="1613"/>
      <c r="E122" s="1613"/>
      <c r="F122" s="1613"/>
      <c r="G122" s="1613"/>
      <c r="H122" s="318"/>
      <c r="I122" s="716" t="s">
        <v>945</v>
      </c>
      <c r="J122" s="1906">
        <v>1530</v>
      </c>
      <c r="K122" s="1913"/>
      <c r="L122" s="1908"/>
      <c r="M122" s="1654"/>
      <c r="N122" s="1587"/>
      <c r="O122" s="1580"/>
      <c r="P122" s="1314"/>
      <c r="R122" s="2555"/>
      <c r="S122" s="2555"/>
      <c r="V122" s="2555">
        <v>1530</v>
      </c>
      <c r="W122" s="2555"/>
      <c r="X122" s="2555">
        <v>1530</v>
      </c>
      <c r="Y122" s="2555"/>
      <c r="Z122" s="2555">
        <v>1530</v>
      </c>
      <c r="AA122" s="2555"/>
    </row>
    <row r="123" spans="1:27" ht="15" customHeight="1">
      <c r="A123" s="221" t="s">
        <v>346</v>
      </c>
      <c r="B123" s="2258" t="s">
        <v>71</v>
      </c>
      <c r="C123" s="2262"/>
      <c r="D123" s="2262"/>
      <c r="E123" s="2262"/>
      <c r="F123" s="2262"/>
      <c r="G123" s="2262"/>
      <c r="H123" s="2263"/>
      <c r="I123" s="253"/>
      <c r="J123" s="1906"/>
      <c r="K123" s="1913"/>
      <c r="L123" s="1908"/>
      <c r="M123" s="1654"/>
      <c r="N123" s="1587"/>
      <c r="O123" s="1580"/>
      <c r="P123" s="1314"/>
      <c r="R123" s="2555"/>
      <c r="S123" s="2555"/>
      <c r="V123" s="2555"/>
      <c r="W123" s="2555"/>
      <c r="X123" s="2555"/>
      <c r="Y123" s="2555"/>
      <c r="Z123" s="2555"/>
      <c r="AA123" s="2555"/>
    </row>
    <row r="124" spans="1:27" ht="19.5">
      <c r="A124" s="221"/>
      <c r="B124" s="2264"/>
      <c r="C124" s="2262"/>
      <c r="D124" s="2262"/>
      <c r="E124" s="2262"/>
      <c r="F124" s="2262"/>
      <c r="G124" s="2262"/>
      <c r="H124" s="2263"/>
      <c r="I124" s="716" t="s">
        <v>945</v>
      </c>
      <c r="J124" s="1908">
        <f>6600/10000</f>
        <v>0.66</v>
      </c>
      <c r="K124" s="1913" t="s">
        <v>622</v>
      </c>
      <c r="L124" s="1908">
        <f>'[1]лаб.'!$J$316</f>
        <v>3.1555999999999997</v>
      </c>
      <c r="M124" s="1654">
        <f>J124+L124</f>
        <v>3.8156</v>
      </c>
      <c r="N124" s="1587" t="s">
        <v>622</v>
      </c>
      <c r="O124" s="1591">
        <f>M124/10000</f>
        <v>0.00038155999999999997</v>
      </c>
      <c r="P124" s="1592" t="s">
        <v>622</v>
      </c>
      <c r="R124" s="2555"/>
      <c r="S124" s="2555"/>
      <c r="T124" s="2568">
        <f>V124*1.2</f>
        <v>6600</v>
      </c>
      <c r="V124" s="2555">
        <v>5500</v>
      </c>
      <c r="W124" s="2555" t="s">
        <v>622</v>
      </c>
      <c r="X124" s="2567">
        <f>Z124*1.15</f>
        <v>1667.4999999999998</v>
      </c>
      <c r="Y124" s="2567"/>
      <c r="Z124" s="2555">
        <v>1450</v>
      </c>
      <c r="AA124" s="2555" t="s">
        <v>622</v>
      </c>
    </row>
    <row r="125" spans="1:27" ht="17.25">
      <c r="A125" s="221"/>
      <c r="B125" s="2264"/>
      <c r="C125" s="2262"/>
      <c r="D125" s="2262"/>
      <c r="E125" s="2262"/>
      <c r="F125" s="2262"/>
      <c r="G125" s="2262"/>
      <c r="H125" s="2263"/>
      <c r="I125" s="716"/>
      <c r="J125" s="1906"/>
      <c r="K125" s="1913"/>
      <c r="L125" s="1908"/>
      <c r="M125" s="1654"/>
      <c r="N125" s="1587"/>
      <c r="O125" s="1580"/>
      <c r="P125" s="1314"/>
      <c r="R125" s="2555"/>
      <c r="S125" s="2555"/>
      <c r="V125" s="2555"/>
      <c r="W125" s="2555"/>
      <c r="X125" s="2555"/>
      <c r="Y125" s="2555"/>
      <c r="Z125" s="2555"/>
      <c r="AA125" s="2555"/>
    </row>
    <row r="126" spans="1:27" ht="15" customHeight="1">
      <c r="A126" s="221" t="s">
        <v>305</v>
      </c>
      <c r="B126" s="2293" t="s">
        <v>72</v>
      </c>
      <c r="C126" s="2294"/>
      <c r="D126" s="2294"/>
      <c r="E126" s="2294"/>
      <c r="F126" s="2294"/>
      <c r="G126" s="2294"/>
      <c r="H126" s="2295"/>
      <c r="I126" s="253"/>
      <c r="J126" s="1906"/>
      <c r="K126" s="1913"/>
      <c r="L126" s="1908"/>
      <c r="M126" s="1654"/>
      <c r="N126" s="1587"/>
      <c r="O126" s="1580"/>
      <c r="P126" s="1314"/>
      <c r="R126" s="2555"/>
      <c r="S126" s="2555"/>
      <c r="V126" s="2555"/>
      <c r="W126" s="2555"/>
      <c r="X126" s="2555"/>
      <c r="Y126" s="2555"/>
      <c r="Z126" s="2555"/>
      <c r="AA126" s="2555"/>
    </row>
    <row r="127" spans="1:27" ht="17.25">
      <c r="A127" s="221"/>
      <c r="B127" s="2296"/>
      <c r="C127" s="2294"/>
      <c r="D127" s="2294"/>
      <c r="E127" s="2294"/>
      <c r="F127" s="2294"/>
      <c r="G127" s="2294"/>
      <c r="H127" s="2295"/>
      <c r="I127" s="253"/>
      <c r="J127" s="1906"/>
      <c r="K127" s="1913"/>
      <c r="L127" s="1908"/>
      <c r="M127" s="1654"/>
      <c r="N127" s="1587"/>
      <c r="O127" s="1580"/>
      <c r="P127" s="1314"/>
      <c r="R127" s="2555"/>
      <c r="S127" s="2555"/>
      <c r="V127" s="2555"/>
      <c r="W127" s="2555"/>
      <c r="X127" s="2555"/>
      <c r="Y127" s="2555"/>
      <c r="Z127" s="2555"/>
      <c r="AA127" s="2555"/>
    </row>
    <row r="128" spans="1:27" ht="19.5">
      <c r="A128" s="221"/>
      <c r="B128" s="2296"/>
      <c r="C128" s="2294"/>
      <c r="D128" s="2294"/>
      <c r="E128" s="2294"/>
      <c r="F128" s="2294"/>
      <c r="G128" s="2294"/>
      <c r="H128" s="2295"/>
      <c r="I128" s="716" t="s">
        <v>945</v>
      </c>
      <c r="J128" s="1907">
        <f>7800/10000</f>
        <v>0.78</v>
      </c>
      <c r="K128" s="1913" t="s">
        <v>622</v>
      </c>
      <c r="L128" s="1908">
        <f>'[1]лаб.'!$J$328</f>
        <v>3.272</v>
      </c>
      <c r="M128" s="1654">
        <f>J128+L128</f>
        <v>4.052</v>
      </c>
      <c r="N128" s="1587" t="s">
        <v>622</v>
      </c>
      <c r="O128" s="1591">
        <f>M128/10000</f>
        <v>0.0004052</v>
      </c>
      <c r="P128" s="1595" t="s">
        <v>622</v>
      </c>
      <c r="R128" s="2555"/>
      <c r="S128" s="2555"/>
      <c r="T128" s="2568">
        <f>V128*1.2</f>
        <v>7800</v>
      </c>
      <c r="V128" s="2555">
        <v>6500</v>
      </c>
      <c r="W128" s="2555" t="s">
        <v>622</v>
      </c>
      <c r="X128" s="2567">
        <f>Z128*1.15</f>
        <v>1954.9999999999998</v>
      </c>
      <c r="Y128" s="2567"/>
      <c r="Z128" s="2555">
        <v>1700</v>
      </c>
      <c r="AA128" s="2555" t="s">
        <v>622</v>
      </c>
    </row>
    <row r="129" spans="1:27" ht="15" customHeight="1">
      <c r="A129" s="221" t="s">
        <v>306</v>
      </c>
      <c r="B129" s="2258" t="s">
        <v>73</v>
      </c>
      <c r="C129" s="2262"/>
      <c r="D129" s="2262"/>
      <c r="E129" s="2262"/>
      <c r="F129" s="2262"/>
      <c r="G129" s="2262"/>
      <c r="H129" s="2263"/>
      <c r="I129" s="253"/>
      <c r="J129" s="1906"/>
      <c r="K129" s="1913"/>
      <c r="L129" s="1659"/>
      <c r="M129" s="1654"/>
      <c r="N129" s="1587"/>
      <c r="O129" s="1580"/>
      <c r="P129" s="1595"/>
      <c r="R129" s="2555"/>
      <c r="S129" s="2555"/>
      <c r="V129" s="2555"/>
      <c r="W129" s="2555"/>
      <c r="X129" s="2555"/>
      <c r="Y129" s="2555"/>
      <c r="Z129" s="2555"/>
      <c r="AA129" s="2555"/>
    </row>
    <row r="130" spans="1:27" ht="19.5">
      <c r="A130" s="221"/>
      <c r="B130" s="2264"/>
      <c r="C130" s="2262"/>
      <c r="D130" s="2262"/>
      <c r="E130" s="2262"/>
      <c r="F130" s="2262"/>
      <c r="G130" s="2262"/>
      <c r="H130" s="2263"/>
      <c r="I130" s="716" t="s">
        <v>945</v>
      </c>
      <c r="J130" s="1906">
        <f>5400/10000</f>
        <v>0.54</v>
      </c>
      <c r="K130" s="1913" t="s">
        <v>622</v>
      </c>
      <c r="L130" s="1659">
        <f>'[1]лаб.'!$J$369</f>
        <v>5.734749999999999</v>
      </c>
      <c r="M130" s="1654">
        <f>J130+L130</f>
        <v>6.274749999999999</v>
      </c>
      <c r="N130" s="1587" t="s">
        <v>622</v>
      </c>
      <c r="O130" s="1591">
        <f>M130/10000</f>
        <v>0.000627475</v>
      </c>
      <c r="P130" s="1595" t="s">
        <v>622</v>
      </c>
      <c r="R130" s="2555"/>
      <c r="S130" s="2555"/>
      <c r="T130" s="2568">
        <f>V130*1.2</f>
        <v>5400</v>
      </c>
      <c r="V130" s="2555">
        <v>4500</v>
      </c>
      <c r="W130" s="2555" t="s">
        <v>622</v>
      </c>
      <c r="X130" s="2567">
        <f>Z130*1.15</f>
        <v>1322.5</v>
      </c>
      <c r="Y130" s="2567"/>
      <c r="Z130" s="2555">
        <v>1150</v>
      </c>
      <c r="AA130" s="2555" t="s">
        <v>622</v>
      </c>
    </row>
    <row r="131" spans="1:27" ht="17.25">
      <c r="A131" s="221"/>
      <c r="B131" s="2264"/>
      <c r="C131" s="2262"/>
      <c r="D131" s="2262"/>
      <c r="E131" s="2262"/>
      <c r="F131" s="2262"/>
      <c r="G131" s="2262"/>
      <c r="H131" s="2263"/>
      <c r="I131" s="716"/>
      <c r="J131" s="1906"/>
      <c r="K131" s="1913"/>
      <c r="L131" s="1659"/>
      <c r="M131" s="1654"/>
      <c r="N131" s="1587"/>
      <c r="O131" s="1580"/>
      <c r="P131" s="1595"/>
      <c r="R131" s="2555"/>
      <c r="S131" s="2555"/>
      <c r="V131" s="2555"/>
      <c r="W131" s="2555"/>
      <c r="X131" s="2555"/>
      <c r="Y131" s="2555"/>
      <c r="Z131" s="2555"/>
      <c r="AA131" s="2555"/>
    </row>
    <row r="132" spans="1:27" ht="17.25">
      <c r="A132" s="236" t="s">
        <v>307</v>
      </c>
      <c r="B132" s="1609" t="s">
        <v>74</v>
      </c>
      <c r="C132" s="1613"/>
      <c r="D132" s="1613"/>
      <c r="E132" s="1613"/>
      <c r="F132" s="1613"/>
      <c r="G132" s="1623"/>
      <c r="H132" s="318"/>
      <c r="I132" s="716"/>
      <c r="J132" s="1906"/>
      <c r="K132" s="1913"/>
      <c r="L132" s="1659"/>
      <c r="M132" s="1654"/>
      <c r="N132" s="1587"/>
      <c r="O132" s="1580"/>
      <c r="P132" s="1595"/>
      <c r="R132" s="2555"/>
      <c r="S132" s="2555"/>
      <c r="V132" s="2555"/>
      <c r="W132" s="2555"/>
      <c r="X132" s="2555"/>
      <c r="Y132" s="2555"/>
      <c r="Z132" s="2555"/>
      <c r="AA132" s="2555"/>
    </row>
    <row r="133" spans="1:27" ht="19.5">
      <c r="A133" s="221"/>
      <c r="B133" s="1609" t="s">
        <v>75</v>
      </c>
      <c r="C133" s="1613"/>
      <c r="D133" s="1613"/>
      <c r="E133" s="1613"/>
      <c r="F133" s="1613"/>
      <c r="G133" s="1613"/>
      <c r="H133" s="318"/>
      <c r="I133" s="716" t="s">
        <v>945</v>
      </c>
      <c r="J133" s="1908">
        <f>13200/10000</f>
        <v>1.32</v>
      </c>
      <c r="K133" s="1913"/>
      <c r="L133" s="1908">
        <f>'[1]лаб.'!$J$360</f>
        <v>2.9629999999999996</v>
      </c>
      <c r="M133" s="1653">
        <f>J133+L133</f>
        <v>4.2829999999999995</v>
      </c>
      <c r="N133" s="1588" t="s">
        <v>622</v>
      </c>
      <c r="O133" s="1591">
        <f>M133/10000</f>
        <v>0.00042829999999999995</v>
      </c>
      <c r="P133" s="1596" t="s">
        <v>622</v>
      </c>
      <c r="R133" s="2555"/>
      <c r="S133" s="2555"/>
      <c r="T133" s="2568">
        <f>V133*1.2</f>
        <v>13200</v>
      </c>
      <c r="V133" s="2555">
        <v>11000</v>
      </c>
      <c r="W133" s="2555"/>
      <c r="X133" s="2567">
        <f>Z133*1.15</f>
        <v>3909.9999999999995</v>
      </c>
      <c r="Y133" s="2567">
        <f>AA133*1.15</f>
        <v>0</v>
      </c>
      <c r="Z133" s="2555">
        <v>3400</v>
      </c>
      <c r="AA133" s="2555"/>
    </row>
    <row r="134" spans="1:27" ht="15" customHeight="1">
      <c r="A134" s="221" t="s">
        <v>308</v>
      </c>
      <c r="B134" s="2258" t="s">
        <v>76</v>
      </c>
      <c r="C134" s="2262"/>
      <c r="D134" s="2262"/>
      <c r="E134" s="2262"/>
      <c r="F134" s="2262"/>
      <c r="G134" s="2262"/>
      <c r="H134" s="2263"/>
      <c r="I134" s="253"/>
      <c r="J134" s="1906"/>
      <c r="K134" s="1913"/>
      <c r="L134" s="1659"/>
      <c r="M134" s="1654"/>
      <c r="N134" s="1587"/>
      <c r="O134" s="1580"/>
      <c r="P134" s="1595"/>
      <c r="R134" s="2555"/>
      <c r="S134" s="2555"/>
      <c r="V134" s="2555"/>
      <c r="W134" s="2555"/>
      <c r="X134" s="2555"/>
      <c r="Y134" s="2555"/>
      <c r="Z134" s="2555"/>
      <c r="AA134" s="2555"/>
    </row>
    <row r="135" spans="1:27" ht="17.25">
      <c r="A135" s="221"/>
      <c r="B135" s="2264"/>
      <c r="C135" s="2262"/>
      <c r="D135" s="2262"/>
      <c r="E135" s="2262"/>
      <c r="F135" s="2262"/>
      <c r="G135" s="2262"/>
      <c r="H135" s="2263"/>
      <c r="I135" s="253"/>
      <c r="J135" s="1906"/>
      <c r="K135" s="1913"/>
      <c r="L135" s="1659"/>
      <c r="M135" s="1654"/>
      <c r="N135" s="1587"/>
      <c r="O135" s="1580"/>
      <c r="P135" s="1595"/>
      <c r="R135" s="2555"/>
      <c r="S135" s="2555"/>
      <c r="V135" s="2555"/>
      <c r="W135" s="2555"/>
      <c r="X135" s="2555"/>
      <c r="Y135" s="2555"/>
      <c r="Z135" s="2555"/>
      <c r="AA135" s="2555"/>
    </row>
    <row r="136" spans="1:27" ht="19.5">
      <c r="A136" s="233"/>
      <c r="B136" s="2288"/>
      <c r="C136" s="2289"/>
      <c r="D136" s="2289"/>
      <c r="E136" s="2289"/>
      <c r="F136" s="2289"/>
      <c r="G136" s="2289"/>
      <c r="H136" s="2290"/>
      <c r="I136" s="721" t="s">
        <v>945</v>
      </c>
      <c r="J136" s="1926">
        <f>7400/10000</f>
        <v>0.74</v>
      </c>
      <c r="K136" s="1927" t="s">
        <v>622</v>
      </c>
      <c r="L136" s="1928">
        <f>'[1]лаб.'!$J$382</f>
        <v>5.792420000000001</v>
      </c>
      <c r="M136" s="1929">
        <f>J136+L136</f>
        <v>6.532420000000001</v>
      </c>
      <c r="N136" s="1589" t="s">
        <v>622</v>
      </c>
      <c r="O136" s="1591">
        <f>M136/10000</f>
        <v>0.0006532420000000001</v>
      </c>
      <c r="P136" s="1597" t="s">
        <v>622</v>
      </c>
      <c r="R136" s="2555"/>
      <c r="S136" s="2555"/>
      <c r="T136" s="2568">
        <f>V136*1.2</f>
        <v>7440</v>
      </c>
      <c r="V136" s="2555">
        <v>6200</v>
      </c>
      <c r="W136" s="2555" t="s">
        <v>622</v>
      </c>
      <c r="X136" s="2567">
        <f>Z136*1.15</f>
        <v>1897.4999999999998</v>
      </c>
      <c r="Y136" s="2567"/>
      <c r="Z136" s="2555">
        <v>1650</v>
      </c>
      <c r="AA136" s="2555" t="s">
        <v>622</v>
      </c>
    </row>
    <row r="137" spans="1:28" s="151" customFormat="1" ht="15" customHeight="1">
      <c r="A137" s="485"/>
      <c r="B137" s="1624" t="s">
        <v>340</v>
      </c>
      <c r="C137" s="1625"/>
      <c r="D137" s="1625"/>
      <c r="E137" s="1625"/>
      <c r="F137" s="1625"/>
      <c r="G137" s="1625"/>
      <c r="H137" s="1625"/>
      <c r="I137" s="486"/>
      <c r="J137" s="1930"/>
      <c r="K137" s="1931"/>
      <c r="L137" s="1932"/>
      <c r="M137" s="1657"/>
      <c r="N137" s="1590"/>
      <c r="O137" s="1594"/>
      <c r="P137" s="1598"/>
      <c r="R137" s="2568"/>
      <c r="S137" s="2569"/>
      <c r="T137" s="2569"/>
      <c r="U137" s="2569"/>
      <c r="V137" s="2568"/>
      <c r="W137" s="2569"/>
      <c r="X137" s="2569"/>
      <c r="Y137" s="2569"/>
      <c r="Z137" s="2569"/>
      <c r="AA137" s="2569"/>
      <c r="AB137" s="2569"/>
    </row>
    <row r="138" spans="1:28" s="151" customFormat="1" ht="15" customHeight="1">
      <c r="A138" s="947"/>
      <c r="B138" s="2277" t="s">
        <v>341</v>
      </c>
      <c r="C138" s="2278"/>
      <c r="D138" s="2278"/>
      <c r="E138" s="2278"/>
      <c r="F138" s="2278"/>
      <c r="G138" s="2278"/>
      <c r="H138" s="2278"/>
      <c r="I138" s="950" t="s">
        <v>945</v>
      </c>
      <c r="J138" s="1933">
        <f>6000/10000</f>
        <v>0.6</v>
      </c>
      <c r="K138" s="1934" t="s">
        <v>622</v>
      </c>
      <c r="L138" s="1928">
        <f>'[1]лаб.'!$J$408</f>
        <v>0.285165</v>
      </c>
      <c r="M138" s="1929">
        <f>J138+L138</f>
        <v>0.885165</v>
      </c>
      <c r="N138" s="1589" t="s">
        <v>622</v>
      </c>
      <c r="O138" s="1635">
        <f>M138/10000</f>
        <v>8.85165E-05</v>
      </c>
      <c r="P138" s="1597" t="s">
        <v>622</v>
      </c>
      <c r="R138" s="2555"/>
      <c r="S138" s="2555"/>
      <c r="T138" s="2568">
        <f>V138*1.2</f>
        <v>6000</v>
      </c>
      <c r="U138" s="2569"/>
      <c r="V138" s="2555">
        <v>5000</v>
      </c>
      <c r="W138" s="2555" t="s">
        <v>622</v>
      </c>
      <c r="X138" s="2569"/>
      <c r="Y138" s="2569"/>
      <c r="Z138" s="2569"/>
      <c r="AA138" s="2569"/>
      <c r="AB138" s="2569"/>
    </row>
    <row r="139" spans="1:28" s="164" customFormat="1" ht="3" customHeight="1">
      <c r="A139" s="158"/>
      <c r="B139" s="159"/>
      <c r="C139" s="159"/>
      <c r="D139" s="159"/>
      <c r="E139" s="159"/>
      <c r="F139" s="159"/>
      <c r="G139" s="159"/>
      <c r="H139" s="159"/>
      <c r="I139" s="158"/>
      <c r="J139" s="158"/>
      <c r="K139" s="159"/>
      <c r="L139" s="249"/>
      <c r="M139" s="250"/>
      <c r="O139" s="159"/>
      <c r="P139" s="1634"/>
      <c r="R139" s="2570"/>
      <c r="S139" s="2570"/>
      <c r="T139" s="2570"/>
      <c r="U139" s="2570"/>
      <c r="V139" s="2570"/>
      <c r="W139" s="2570"/>
      <c r="X139" s="2570"/>
      <c r="Y139" s="2570"/>
      <c r="Z139" s="2570"/>
      <c r="AA139" s="2570"/>
      <c r="AB139" s="2570"/>
    </row>
    <row r="140" spans="1:28" s="151" customFormat="1" ht="15">
      <c r="A140" s="245" t="str">
        <f>'прейск-т'!A1212</f>
        <v>Главный бухгалтер</v>
      </c>
      <c r="B140" s="207"/>
      <c r="C140" s="207"/>
      <c r="D140" s="207"/>
      <c r="E140" s="207"/>
      <c r="F140" s="207"/>
      <c r="G140" s="207"/>
      <c r="H140" s="245"/>
      <c r="I140" s="245"/>
      <c r="J140" s="245"/>
      <c r="K140" s="245"/>
      <c r="L140" s="251"/>
      <c r="M140" s="245"/>
      <c r="N140" s="245" t="str">
        <f>'прейск-т'!N1212</f>
        <v>М.В. Ровгач</v>
      </c>
      <c r="O140" s="251"/>
      <c r="P140" s="207"/>
      <c r="Q140" s="207"/>
      <c r="R140" s="2569"/>
      <c r="S140" s="2569"/>
      <c r="T140" s="2569"/>
      <c r="U140" s="2569"/>
      <c r="V140" s="2569"/>
      <c r="W140" s="2569"/>
      <c r="X140" s="2569"/>
      <c r="Y140" s="2569"/>
      <c r="Z140" s="2569"/>
      <c r="AA140" s="2569"/>
      <c r="AB140" s="2569"/>
    </row>
    <row r="141" spans="1:28" s="164" customFormat="1" ht="3.75" customHeight="1">
      <c r="A141" s="158"/>
      <c r="B141" s="159"/>
      <c r="C141" s="159"/>
      <c r="D141" s="159"/>
      <c r="E141" s="159"/>
      <c r="F141" s="159"/>
      <c r="G141" s="159"/>
      <c r="H141" s="158"/>
      <c r="I141" s="158"/>
      <c r="J141" s="158"/>
      <c r="K141" s="158"/>
      <c r="L141" s="252"/>
      <c r="M141" s="158"/>
      <c r="N141" s="158"/>
      <c r="O141" s="252"/>
      <c r="P141" s="159"/>
      <c r="Q141" s="159"/>
      <c r="R141" s="2570"/>
      <c r="S141" s="2570"/>
      <c r="T141" s="2570"/>
      <c r="U141" s="2570"/>
      <c r="V141" s="2570"/>
      <c r="W141" s="2570"/>
      <c r="X141" s="2570"/>
      <c r="Y141" s="2570"/>
      <c r="Z141" s="2570"/>
      <c r="AA141" s="2570"/>
      <c r="AB141" s="2570"/>
    </row>
    <row r="142" spans="1:28" s="151" customFormat="1" ht="14.25" customHeight="1">
      <c r="A142" s="245" t="str">
        <f>'прейск-т'!A1215</f>
        <v>Бухгалтер</v>
      </c>
      <c r="B142" s="207"/>
      <c r="C142" s="207"/>
      <c r="D142" s="207"/>
      <c r="E142" s="207"/>
      <c r="F142" s="207"/>
      <c r="G142" s="207"/>
      <c r="H142" s="245"/>
      <c r="I142" s="245"/>
      <c r="J142" s="245"/>
      <c r="K142" s="245"/>
      <c r="L142" s="251"/>
      <c r="M142" s="245"/>
      <c r="N142" s="245" t="str">
        <f>'прейск-т'!N1215</f>
        <v>О.Н.Гаркавая</v>
      </c>
      <c r="O142" s="251"/>
      <c r="P142" s="207"/>
      <c r="Q142" s="207"/>
      <c r="R142" s="2569"/>
      <c r="S142" s="2569"/>
      <c r="T142" s="2569"/>
      <c r="U142" s="2569"/>
      <c r="V142" s="2569"/>
      <c r="W142" s="2569"/>
      <c r="X142" s="2569"/>
      <c r="Y142" s="2569"/>
      <c r="Z142" s="2569"/>
      <c r="AA142" s="2569"/>
      <c r="AB142" s="2569"/>
    </row>
    <row r="143" spans="1:28" s="164" customFormat="1" ht="18" customHeight="1">
      <c r="A143" s="2286" t="s">
        <v>829</v>
      </c>
      <c r="B143" s="2286"/>
      <c r="C143" s="2286"/>
      <c r="D143" s="159"/>
      <c r="E143" s="159"/>
      <c r="F143" s="159"/>
      <c r="G143" s="159"/>
      <c r="H143" s="158"/>
      <c r="I143" s="158"/>
      <c r="J143" s="158"/>
      <c r="K143" s="2275"/>
      <c r="L143" s="2275"/>
      <c r="M143" s="158"/>
      <c r="N143" s="2275" t="s">
        <v>830</v>
      </c>
      <c r="O143" s="2275"/>
      <c r="P143" s="159"/>
      <c r="Q143" s="159"/>
      <c r="R143" s="2570"/>
      <c r="S143" s="2570"/>
      <c r="T143" s="2570"/>
      <c r="U143" s="2570"/>
      <c r="V143" s="2570"/>
      <c r="W143" s="2570"/>
      <c r="X143" s="2570"/>
      <c r="Y143" s="2570"/>
      <c r="Z143" s="2570"/>
      <c r="AA143" s="2570"/>
      <c r="AB143" s="2570"/>
    </row>
    <row r="144" spans="1:28" s="151" customFormat="1" ht="15" hidden="1">
      <c r="A144" s="245" t="str">
        <f>'прейск-т'!A1218</f>
        <v>Начальник  ПЭО</v>
      </c>
      <c r="B144" s="207"/>
      <c r="C144" s="207"/>
      <c r="D144" s="207"/>
      <c r="E144" s="207"/>
      <c r="F144" s="207"/>
      <c r="G144" s="207"/>
      <c r="H144" s="245"/>
      <c r="I144" s="245"/>
      <c r="J144" s="245"/>
      <c r="K144" s="245"/>
      <c r="L144" s="251"/>
      <c r="M144" s="245"/>
      <c r="N144" s="245" t="str">
        <f>'прейск-т'!N1218</f>
        <v>В.К.Лысая</v>
      </c>
      <c r="O144" s="251"/>
      <c r="P144" s="207"/>
      <c r="Q144" s="207"/>
      <c r="R144" s="2569"/>
      <c r="S144" s="2569"/>
      <c r="T144" s="2569"/>
      <c r="U144" s="2569"/>
      <c r="V144" s="2569"/>
      <c r="W144" s="2569"/>
      <c r="X144" s="2569"/>
      <c r="Y144" s="2569"/>
      <c r="Z144" s="2569"/>
      <c r="AA144" s="2569"/>
      <c r="AB144" s="2569"/>
    </row>
    <row r="145" spans="1:28" s="164" customFormat="1" ht="4.5" customHeight="1">
      <c r="A145" s="253"/>
      <c r="B145" s="159"/>
      <c r="C145" s="159"/>
      <c r="D145" s="159"/>
      <c r="E145" s="159"/>
      <c r="F145" s="159"/>
      <c r="G145" s="159"/>
      <c r="H145" s="253"/>
      <c r="I145" s="253"/>
      <c r="J145" s="253"/>
      <c r="K145" s="253"/>
      <c r="L145" s="254"/>
      <c r="M145" s="253"/>
      <c r="N145" s="253"/>
      <c r="O145" s="254"/>
      <c r="P145" s="159"/>
      <c r="Q145" s="159"/>
      <c r="R145" s="2570"/>
      <c r="S145" s="2570"/>
      <c r="T145" s="2570"/>
      <c r="U145" s="2570"/>
      <c r="V145" s="2570"/>
      <c r="W145" s="2570"/>
      <c r="X145" s="2570"/>
      <c r="Y145" s="2570"/>
      <c r="Z145" s="2570"/>
      <c r="AA145" s="2570"/>
      <c r="AB145" s="2570"/>
    </row>
    <row r="146" spans="1:28" s="151" customFormat="1" ht="15">
      <c r="A146" s="245" t="s">
        <v>831</v>
      </c>
      <c r="B146" s="207"/>
      <c r="C146" s="207"/>
      <c r="D146" s="207"/>
      <c r="E146" s="207"/>
      <c r="F146" s="207"/>
      <c r="G146" s="207"/>
      <c r="H146" s="245"/>
      <c r="I146" s="245"/>
      <c r="J146" s="245"/>
      <c r="K146" s="245"/>
      <c r="L146" s="251"/>
      <c r="M146" s="245"/>
      <c r="N146" s="245" t="str">
        <f>'прейск-т'!N1221</f>
        <v>Е.О.Андреева</v>
      </c>
      <c r="O146" s="251"/>
      <c r="P146" s="207"/>
      <c r="Q146" s="207"/>
      <c r="R146" s="2569"/>
      <c r="S146" s="2569"/>
      <c r="T146" s="2569"/>
      <c r="U146" s="2569"/>
      <c r="V146" s="2569"/>
      <c r="W146" s="2569"/>
      <c r="X146" s="2569"/>
      <c r="Y146" s="2569"/>
      <c r="Z146" s="2569"/>
      <c r="AA146" s="2569"/>
      <c r="AB146" s="2569"/>
    </row>
    <row r="147" spans="7:16" ht="15.75">
      <c r="G147" s="255" t="s">
        <v>154</v>
      </c>
      <c r="I147" s="169"/>
      <c r="O147" s="522"/>
      <c r="P147" s="123"/>
    </row>
    <row r="148" spans="2:16" ht="15">
      <c r="B148" s="215"/>
      <c r="C148" s="257"/>
      <c r="D148" s="257"/>
      <c r="G148" s="258" t="s">
        <v>153</v>
      </c>
      <c r="H148" s="259" t="str">
        <f>C12</f>
        <v>01.07.2017г.</v>
      </c>
      <c r="I148" s="260"/>
      <c r="O148" s="522"/>
      <c r="P148" s="123"/>
    </row>
    <row r="149" spans="1:28" s="177" customFormat="1" ht="12">
      <c r="A149" s="184"/>
      <c r="B149" s="516"/>
      <c r="C149" s="180"/>
      <c r="D149" s="180"/>
      <c r="E149" s="181"/>
      <c r="F149" s="180"/>
      <c r="G149" s="182"/>
      <c r="H149" s="182"/>
      <c r="I149" s="183"/>
      <c r="J149" s="2298" t="s">
        <v>447</v>
      </c>
      <c r="K149" s="2254"/>
      <c r="L149" s="261" t="s">
        <v>923</v>
      </c>
      <c r="M149" s="2240" t="s">
        <v>443</v>
      </c>
      <c r="N149" s="2240"/>
      <c r="O149" s="517"/>
      <c r="P149" s="1577"/>
      <c r="R149" s="2563"/>
      <c r="S149" s="2563"/>
      <c r="T149" s="2563"/>
      <c r="U149" s="2563"/>
      <c r="V149" s="2563"/>
      <c r="W149" s="2563"/>
      <c r="X149" s="2563"/>
      <c r="Y149" s="2563"/>
      <c r="Z149" s="2563"/>
      <c r="AA149" s="2563"/>
      <c r="AB149" s="2563"/>
    </row>
    <row r="150" spans="1:28" s="177" customFormat="1" ht="12">
      <c r="A150" s="194"/>
      <c r="B150" s="517"/>
      <c r="C150" s="174"/>
      <c r="D150" s="174"/>
      <c r="E150" s="174"/>
      <c r="F150" s="174"/>
      <c r="G150" s="188"/>
      <c r="H150" s="188" t="s">
        <v>77</v>
      </c>
      <c r="I150" s="189"/>
      <c r="J150" s="2297"/>
      <c r="K150" s="2243"/>
      <c r="L150" s="262" t="s">
        <v>924</v>
      </c>
      <c r="M150" s="2244" t="s">
        <v>925</v>
      </c>
      <c r="N150" s="2244"/>
      <c r="O150" s="517"/>
      <c r="P150" s="1577"/>
      <c r="R150" s="2563"/>
      <c r="S150" s="2563"/>
      <c r="T150" s="2563"/>
      <c r="U150" s="2563"/>
      <c r="V150" s="2563"/>
      <c r="W150" s="2563"/>
      <c r="X150" s="2563"/>
      <c r="Y150" s="2563"/>
      <c r="Z150" s="2563"/>
      <c r="AA150" s="2563"/>
      <c r="AB150" s="2563"/>
    </row>
    <row r="151" spans="1:28" s="177" customFormat="1" ht="12">
      <c r="A151" s="194" t="s">
        <v>444</v>
      </c>
      <c r="B151" s="517"/>
      <c r="C151" s="174"/>
      <c r="D151" s="174"/>
      <c r="E151" s="148" t="s">
        <v>445</v>
      </c>
      <c r="F151" s="174"/>
      <c r="G151" s="188"/>
      <c r="H151" s="188" t="s">
        <v>78</v>
      </c>
      <c r="I151" s="189" t="s">
        <v>844</v>
      </c>
      <c r="J151" s="183" t="s">
        <v>926</v>
      </c>
      <c r="K151" s="183" t="s">
        <v>927</v>
      </c>
      <c r="L151" s="262" t="s">
        <v>448</v>
      </c>
      <c r="M151" s="2238" t="s">
        <v>453</v>
      </c>
      <c r="N151" s="2238"/>
      <c r="O151" s="517"/>
      <c r="P151" s="1577"/>
      <c r="R151" s="2563"/>
      <c r="S151" s="2563"/>
      <c r="T151" s="2563"/>
      <c r="U151" s="2563"/>
      <c r="V151" s="2563"/>
      <c r="W151" s="2563"/>
      <c r="X151" s="2563"/>
      <c r="Y151" s="2563"/>
      <c r="Z151" s="2563"/>
      <c r="AA151" s="2563"/>
      <c r="AB151" s="2563"/>
    </row>
    <row r="152" spans="1:28" s="177" customFormat="1" ht="12">
      <c r="A152" s="194" t="s">
        <v>450</v>
      </c>
      <c r="B152" s="194"/>
      <c r="C152" s="148"/>
      <c r="D152" s="148"/>
      <c r="E152" s="148"/>
      <c r="F152" s="174"/>
      <c r="G152" s="188"/>
      <c r="H152" s="189" t="s">
        <v>79</v>
      </c>
      <c r="I152" s="189" t="s">
        <v>928</v>
      </c>
      <c r="J152" s="189" t="s">
        <v>929</v>
      </c>
      <c r="K152" s="189" t="s">
        <v>930</v>
      </c>
      <c r="L152" s="262" t="s">
        <v>452</v>
      </c>
      <c r="M152" s="186" t="s">
        <v>926</v>
      </c>
      <c r="N152" s="147" t="s">
        <v>927</v>
      </c>
      <c r="O152" s="517"/>
      <c r="P152" s="1577"/>
      <c r="R152" s="2563"/>
      <c r="S152" s="2563"/>
      <c r="T152" s="2563"/>
      <c r="U152" s="2563"/>
      <c r="V152" s="2563"/>
      <c r="W152" s="2563"/>
      <c r="X152" s="2563"/>
      <c r="Y152" s="2563"/>
      <c r="Z152" s="2563"/>
      <c r="AA152" s="2563"/>
      <c r="AB152" s="2563"/>
    </row>
    <row r="153" spans="1:28" s="177" customFormat="1" ht="12">
      <c r="A153" s="194"/>
      <c r="B153" s="517"/>
      <c r="C153" s="174"/>
      <c r="D153" s="174"/>
      <c r="E153" s="174"/>
      <c r="F153" s="174"/>
      <c r="G153" s="189"/>
      <c r="H153" s="189" t="s">
        <v>80</v>
      </c>
      <c r="I153" s="189" t="s">
        <v>931</v>
      </c>
      <c r="J153" s="189"/>
      <c r="K153" s="189" t="s">
        <v>932</v>
      </c>
      <c r="L153" s="263"/>
      <c r="M153" s="192" t="s">
        <v>929</v>
      </c>
      <c r="N153" s="176" t="s">
        <v>930</v>
      </c>
      <c r="O153" s="517"/>
      <c r="P153" s="1577"/>
      <c r="R153" s="2563"/>
      <c r="S153" s="2563"/>
      <c r="T153" s="2563"/>
      <c r="U153" s="2563"/>
      <c r="V153" s="2563"/>
      <c r="W153" s="2563"/>
      <c r="X153" s="2563"/>
      <c r="Y153" s="2563"/>
      <c r="Z153" s="2563"/>
      <c r="AA153" s="2563"/>
      <c r="AB153" s="2563"/>
    </row>
    <row r="154" spans="1:28" s="177" customFormat="1" ht="12">
      <c r="A154" s="194"/>
      <c r="B154" s="517"/>
      <c r="C154" s="174"/>
      <c r="D154" s="174"/>
      <c r="E154" s="174"/>
      <c r="F154" s="174"/>
      <c r="G154" s="189"/>
      <c r="H154" s="189" t="s">
        <v>81</v>
      </c>
      <c r="I154" s="189"/>
      <c r="J154" s="189"/>
      <c r="K154" s="189"/>
      <c r="L154" s="263"/>
      <c r="M154" s="192"/>
      <c r="N154" s="176" t="s">
        <v>932</v>
      </c>
      <c r="O154" s="517"/>
      <c r="P154" s="1577"/>
      <c r="R154" s="2563"/>
      <c r="S154" s="2563"/>
      <c r="T154" s="2563"/>
      <c r="U154" s="2563"/>
      <c r="V154" s="2563"/>
      <c r="W154" s="2563"/>
      <c r="X154" s="2563"/>
      <c r="Y154" s="2563"/>
      <c r="Z154" s="2563"/>
      <c r="AA154" s="2563"/>
      <c r="AB154" s="2563"/>
    </row>
    <row r="155" spans="1:28" s="177" customFormat="1" ht="12">
      <c r="A155" s="190"/>
      <c r="B155" s="518"/>
      <c r="C155" s="202"/>
      <c r="D155" s="202"/>
      <c r="E155" s="202"/>
      <c r="F155" s="202"/>
      <c r="G155" s="203"/>
      <c r="H155" s="203"/>
      <c r="I155" s="125"/>
      <c r="J155" s="125" t="s">
        <v>933</v>
      </c>
      <c r="K155" s="125" t="s">
        <v>457</v>
      </c>
      <c r="L155" s="264" t="s">
        <v>457</v>
      </c>
      <c r="M155" s="193" t="s">
        <v>457</v>
      </c>
      <c r="N155" s="481" t="s">
        <v>457</v>
      </c>
      <c r="O155" s="517"/>
      <c r="P155" s="1577"/>
      <c r="R155" s="2563"/>
      <c r="S155" s="2563"/>
      <c r="T155" s="2563"/>
      <c r="U155" s="2563"/>
      <c r="V155" s="2563"/>
      <c r="W155" s="2563"/>
      <c r="X155" s="2563"/>
      <c r="Y155" s="2563"/>
      <c r="Z155" s="2563"/>
      <c r="AA155" s="2563"/>
      <c r="AB155" s="2563"/>
    </row>
    <row r="156" spans="1:16" ht="15">
      <c r="A156" s="512">
        <v>1</v>
      </c>
      <c r="B156" s="519" t="s">
        <v>82</v>
      </c>
      <c r="C156" s="265"/>
      <c r="D156" s="265"/>
      <c r="E156" s="265"/>
      <c r="F156" s="265"/>
      <c r="G156" s="266"/>
      <c r="H156" s="118"/>
      <c r="I156" s="531"/>
      <c r="J156" s="515"/>
      <c r="K156" s="515"/>
      <c r="L156" s="267"/>
      <c r="M156" s="535"/>
      <c r="N156" s="1581"/>
      <c r="O156" s="522"/>
      <c r="P156" s="123"/>
    </row>
    <row r="157" spans="1:16" ht="15">
      <c r="A157" s="513"/>
      <c r="B157" s="520" t="s">
        <v>83</v>
      </c>
      <c r="C157" s="215"/>
      <c r="D157" s="215"/>
      <c r="E157" s="215"/>
      <c r="F157" s="215"/>
      <c r="G157" s="219"/>
      <c r="H157" s="527"/>
      <c r="I157" s="532"/>
      <c r="J157" s="122"/>
      <c r="K157" s="122"/>
      <c r="L157" s="1288"/>
      <c r="M157" s="229"/>
      <c r="N157" s="1579"/>
      <c r="O157" s="522"/>
      <c r="P157" s="123"/>
    </row>
    <row r="158" spans="1:16" ht="14.25" customHeight="1">
      <c r="A158" s="194">
        <v>1</v>
      </c>
      <c r="B158" s="2265" t="s">
        <v>936</v>
      </c>
      <c r="C158" s="2266"/>
      <c r="D158" s="2266"/>
      <c r="E158" s="2266"/>
      <c r="F158" s="2266"/>
      <c r="G158" s="2267"/>
      <c r="H158" s="511"/>
      <c r="I158" s="532"/>
      <c r="J158" s="122"/>
      <c r="K158" s="122"/>
      <c r="L158" s="1288"/>
      <c r="M158" s="229"/>
      <c r="N158" s="1579"/>
      <c r="O158" s="522"/>
      <c r="P158" s="123"/>
    </row>
    <row r="159" spans="1:16" ht="15">
      <c r="A159" s="514"/>
      <c r="B159" s="2265"/>
      <c r="C159" s="2266"/>
      <c r="D159" s="2266"/>
      <c r="E159" s="2266"/>
      <c r="F159" s="2266"/>
      <c r="G159" s="2267"/>
      <c r="H159" s="511">
        <v>1.2</v>
      </c>
      <c r="I159" s="532" t="s">
        <v>937</v>
      </c>
      <c r="J159" s="122">
        <f>J23</f>
        <v>0.47</v>
      </c>
      <c r="K159" s="122">
        <f>K23</f>
        <v>0.47</v>
      </c>
      <c r="L159" s="1627"/>
      <c r="M159" s="2103">
        <f>J159+L159</f>
        <v>0.47</v>
      </c>
      <c r="N159" s="2107">
        <f>K159+L159</f>
        <v>0.47</v>
      </c>
      <c r="O159" s="522"/>
      <c r="P159" s="123"/>
    </row>
    <row r="160" spans="1:16" ht="15">
      <c r="A160" s="514"/>
      <c r="B160" s="2265"/>
      <c r="C160" s="2266"/>
      <c r="D160" s="2266"/>
      <c r="E160" s="2266"/>
      <c r="F160" s="2266"/>
      <c r="G160" s="2267"/>
      <c r="H160" s="511"/>
      <c r="I160" s="532" t="s">
        <v>938</v>
      </c>
      <c r="J160" s="122"/>
      <c r="K160" s="122"/>
      <c r="L160" s="1627"/>
      <c r="M160" s="2103"/>
      <c r="N160" s="1579"/>
      <c r="O160" s="522"/>
      <c r="P160" s="123"/>
    </row>
    <row r="161" spans="1:16" ht="15">
      <c r="A161" s="514"/>
      <c r="B161" s="2265"/>
      <c r="C161" s="2266"/>
      <c r="D161" s="2266"/>
      <c r="E161" s="2266"/>
      <c r="F161" s="2266"/>
      <c r="G161" s="2267"/>
      <c r="H161" s="511"/>
      <c r="I161" s="532"/>
      <c r="J161" s="122"/>
      <c r="K161" s="122"/>
      <c r="L161" s="1627"/>
      <c r="M161" s="2103"/>
      <c r="N161" s="1579"/>
      <c r="O161" s="522"/>
      <c r="P161" s="123"/>
    </row>
    <row r="162" spans="1:16" ht="15">
      <c r="A162" s="514">
        <v>2</v>
      </c>
      <c r="B162" s="521" t="s">
        <v>875</v>
      </c>
      <c r="C162" s="207"/>
      <c r="D162" s="207"/>
      <c r="E162" s="207"/>
      <c r="F162" s="207"/>
      <c r="G162" s="208"/>
      <c r="H162" s="158">
        <v>1.4</v>
      </c>
      <c r="I162" s="532" t="s">
        <v>873</v>
      </c>
      <c r="J162" s="122">
        <f aca="true" t="shared" si="25" ref="J162:L163">J30</f>
        <v>0.52</v>
      </c>
      <c r="K162" s="122">
        <f t="shared" si="25"/>
        <v>0.52</v>
      </c>
      <c r="L162" s="2099">
        <f t="shared" si="25"/>
        <v>0.5331999999999999</v>
      </c>
      <c r="M162" s="2103">
        <f>J162+L162</f>
        <v>1.0532</v>
      </c>
      <c r="N162" s="2107">
        <f>K162+L162</f>
        <v>1.0532</v>
      </c>
      <c r="O162" s="522"/>
      <c r="P162" s="123"/>
    </row>
    <row r="163" spans="1:16" ht="15">
      <c r="A163" s="514">
        <v>3</v>
      </c>
      <c r="B163" s="2265" t="s">
        <v>941</v>
      </c>
      <c r="C163" s="2266"/>
      <c r="D163" s="2266"/>
      <c r="E163" s="2266"/>
      <c r="F163" s="2266"/>
      <c r="G163" s="2267"/>
      <c r="H163" s="158">
        <v>1.5</v>
      </c>
      <c r="I163" s="532" t="s">
        <v>873</v>
      </c>
      <c r="J163" s="122">
        <f t="shared" si="25"/>
        <v>0.31</v>
      </c>
      <c r="K163" s="122">
        <f t="shared" si="25"/>
        <v>0.31</v>
      </c>
      <c r="L163" s="2099">
        <f t="shared" si="25"/>
        <v>0.0826</v>
      </c>
      <c r="M163" s="2103">
        <f>J163+L163</f>
        <v>0.3926</v>
      </c>
      <c r="N163" s="2107">
        <f>K163+L163</f>
        <v>0.3926</v>
      </c>
      <c r="O163" s="522"/>
      <c r="P163" s="123"/>
    </row>
    <row r="164" spans="1:16" ht="15">
      <c r="A164" s="514"/>
      <c r="B164" s="2265"/>
      <c r="C164" s="2266"/>
      <c r="D164" s="2266"/>
      <c r="E164" s="2266"/>
      <c r="F164" s="2266"/>
      <c r="G164" s="2267"/>
      <c r="H164" s="158"/>
      <c r="I164" s="532"/>
      <c r="J164" s="122"/>
      <c r="K164" s="122"/>
      <c r="L164" s="1627"/>
      <c r="M164" s="2103"/>
      <c r="N164" s="2107"/>
      <c r="O164" s="522"/>
      <c r="P164" s="123"/>
    </row>
    <row r="165" spans="1:16" ht="31.5" customHeight="1" hidden="1">
      <c r="A165" s="194">
        <v>4</v>
      </c>
      <c r="B165" s="2428" t="s">
        <v>82</v>
      </c>
      <c r="C165" s="2429"/>
      <c r="D165" s="2429"/>
      <c r="E165" s="2429"/>
      <c r="F165" s="2429"/>
      <c r="G165" s="2110" t="s">
        <v>339</v>
      </c>
      <c r="H165" s="528" t="s">
        <v>84</v>
      </c>
      <c r="I165" s="533" t="s">
        <v>945</v>
      </c>
      <c r="J165" s="2097">
        <f>J93</f>
        <v>0.94</v>
      </c>
      <c r="K165" s="122" t="s">
        <v>622</v>
      </c>
      <c r="L165" s="1288">
        <f>L93</f>
        <v>2.9629999999999996</v>
      </c>
      <c r="M165" s="2097">
        <f aca="true" t="shared" si="26" ref="M165:M170">J165+L165</f>
        <v>3.9029999999999996</v>
      </c>
      <c r="N165" s="2108" t="s">
        <v>622</v>
      </c>
      <c r="O165" s="522"/>
      <c r="P165" s="123"/>
    </row>
    <row r="166" spans="1:16" ht="15">
      <c r="A166" s="194"/>
      <c r="B166" s="521" t="s">
        <v>83</v>
      </c>
      <c r="G166" s="272" t="s">
        <v>51</v>
      </c>
      <c r="H166" s="528" t="s">
        <v>84</v>
      </c>
      <c r="I166" s="533" t="s">
        <v>945</v>
      </c>
      <c r="J166" s="2097">
        <f>J94</f>
        <v>0.94</v>
      </c>
      <c r="K166" s="122" t="s">
        <v>622</v>
      </c>
      <c r="L166" s="1288">
        <f>L94</f>
        <v>3.272</v>
      </c>
      <c r="M166" s="2103">
        <f t="shared" si="26"/>
        <v>4.212</v>
      </c>
      <c r="N166" s="2107" t="s">
        <v>622</v>
      </c>
      <c r="O166" s="522"/>
      <c r="P166" s="123"/>
    </row>
    <row r="167" spans="1:16" ht="15">
      <c r="A167" s="194"/>
      <c r="B167" s="522"/>
      <c r="G167" s="273" t="s">
        <v>52</v>
      </c>
      <c r="H167" s="528" t="s">
        <v>84</v>
      </c>
      <c r="I167" s="533" t="s">
        <v>945</v>
      </c>
      <c r="J167" s="2097">
        <f>J95</f>
        <v>0.94</v>
      </c>
      <c r="K167" s="122" t="s">
        <v>622</v>
      </c>
      <c r="L167" s="1288">
        <f>L95</f>
        <v>3.441</v>
      </c>
      <c r="M167" s="2103">
        <f t="shared" si="26"/>
        <v>4.381</v>
      </c>
      <c r="N167" s="2107" t="s">
        <v>622</v>
      </c>
      <c r="O167" s="522"/>
      <c r="P167" s="123"/>
    </row>
    <row r="168" spans="1:16" ht="15">
      <c r="A168" s="194"/>
      <c r="B168" s="522"/>
      <c r="G168" s="273" t="s">
        <v>53</v>
      </c>
      <c r="H168" s="528" t="s">
        <v>84</v>
      </c>
      <c r="I168" s="533" t="s">
        <v>945</v>
      </c>
      <c r="J168" s="2097">
        <f>J96</f>
        <v>0.94</v>
      </c>
      <c r="K168" s="122" t="s">
        <v>622</v>
      </c>
      <c r="L168" s="1288">
        <f>L96</f>
        <v>3.4372</v>
      </c>
      <c r="M168" s="2103">
        <f t="shared" si="26"/>
        <v>4.3772</v>
      </c>
      <c r="N168" s="2107" t="s">
        <v>622</v>
      </c>
      <c r="O168" s="522"/>
      <c r="P168" s="123"/>
    </row>
    <row r="169" spans="1:16" ht="15" hidden="1">
      <c r="A169" s="194"/>
      <c r="B169" s="522"/>
      <c r="G169" s="273" t="s">
        <v>54</v>
      </c>
      <c r="H169" s="528" t="s">
        <v>84</v>
      </c>
      <c r="I169" s="533" t="s">
        <v>945</v>
      </c>
      <c r="J169" s="2097">
        <f>J97</f>
        <v>0.94</v>
      </c>
      <c r="K169" s="122" t="s">
        <v>622</v>
      </c>
      <c r="L169" s="1288">
        <f>L97</f>
        <v>3.5332</v>
      </c>
      <c r="M169" s="2103">
        <f t="shared" si="26"/>
        <v>4.4732</v>
      </c>
      <c r="N169" s="2107" t="s">
        <v>622</v>
      </c>
      <c r="O169" s="522"/>
      <c r="P169" s="123"/>
    </row>
    <row r="170" spans="1:16" ht="15">
      <c r="A170" s="194"/>
      <c r="B170" s="522"/>
      <c r="F170" s="2430" t="s">
        <v>230</v>
      </c>
      <c r="G170" s="2431"/>
      <c r="H170" s="158" t="s">
        <v>84</v>
      </c>
      <c r="I170" s="533" t="s">
        <v>945</v>
      </c>
      <c r="J170" s="2097">
        <f>J168</f>
        <v>0.94</v>
      </c>
      <c r="K170" s="122" t="s">
        <v>622</v>
      </c>
      <c r="L170" s="1288">
        <f>'[1]лаб.'!$J$316</f>
        <v>3.1555999999999997</v>
      </c>
      <c r="M170" s="2103">
        <f t="shared" si="26"/>
        <v>4.095599999999999</v>
      </c>
      <c r="N170" s="1579"/>
      <c r="O170" s="522"/>
      <c r="P170" s="123"/>
    </row>
    <row r="171" spans="1:28" s="653" customFormat="1" ht="15">
      <c r="A171" s="644"/>
      <c r="B171" s="645"/>
      <c r="C171" s="646"/>
      <c r="D171" s="647" t="s">
        <v>919</v>
      </c>
      <c r="E171" s="646"/>
      <c r="F171" s="646"/>
      <c r="G171" s="648" t="str">
        <f>G166</f>
        <v>ТТГ</v>
      </c>
      <c r="H171" s="649"/>
      <c r="I171" s="650"/>
      <c r="J171" s="2100">
        <f>SUM(J159:J163)+J166</f>
        <v>2.24</v>
      </c>
      <c r="K171" s="651" t="s">
        <v>622</v>
      </c>
      <c r="L171" s="1290">
        <f>L159+L162+L163+L166</f>
        <v>3.8877999999999995</v>
      </c>
      <c r="M171" s="2104">
        <f>M159+M162+M163+M166</f>
        <v>6.1278</v>
      </c>
      <c r="N171" s="2109" t="s">
        <v>622</v>
      </c>
      <c r="O171" s="645"/>
      <c r="P171" s="1578"/>
      <c r="R171" s="2565"/>
      <c r="S171" s="2565"/>
      <c r="T171" s="2565"/>
      <c r="U171" s="2565"/>
      <c r="V171" s="2565"/>
      <c r="W171" s="2565"/>
      <c r="X171" s="2565"/>
      <c r="Y171" s="2565"/>
      <c r="Z171" s="2565"/>
      <c r="AA171" s="2565"/>
      <c r="AB171" s="2565"/>
    </row>
    <row r="172" spans="1:28" s="653" customFormat="1" ht="15">
      <c r="A172" s="644"/>
      <c r="B172" s="645"/>
      <c r="C172" s="646"/>
      <c r="D172" s="646"/>
      <c r="E172" s="646"/>
      <c r="F172" s="646"/>
      <c r="G172" s="648" t="str">
        <f>G167</f>
        <v>Т4</v>
      </c>
      <c r="H172" s="649"/>
      <c r="I172" s="650"/>
      <c r="J172" s="2100">
        <f>SUM(J159:J163)+J167</f>
        <v>2.24</v>
      </c>
      <c r="K172" s="651" t="s">
        <v>622</v>
      </c>
      <c r="L172" s="1290">
        <f>SUM(L159:L164)+L167</f>
        <v>4.0568</v>
      </c>
      <c r="M172" s="2104">
        <f>M159+M162+M163+M167</f>
        <v>6.2968</v>
      </c>
      <c r="N172" s="2109" t="s">
        <v>622</v>
      </c>
      <c r="O172" s="645"/>
      <c r="P172" s="1578"/>
      <c r="R172" s="2565"/>
      <c r="S172" s="2565"/>
      <c r="T172" s="2565"/>
      <c r="U172" s="2565"/>
      <c r="V172" s="2565"/>
      <c r="W172" s="2565"/>
      <c r="X172" s="2565"/>
      <c r="Y172" s="2565"/>
      <c r="Z172" s="2565"/>
      <c r="AA172" s="2565"/>
      <c r="AB172" s="2565"/>
    </row>
    <row r="173" spans="1:28" s="653" customFormat="1" ht="15">
      <c r="A173" s="644"/>
      <c r="B173" s="645"/>
      <c r="C173" s="646"/>
      <c r="D173" s="646"/>
      <c r="E173" s="646"/>
      <c r="F173" s="646"/>
      <c r="G173" s="654" t="str">
        <f>G168</f>
        <v>Анти-ТПО</v>
      </c>
      <c r="H173" s="649"/>
      <c r="I173" s="650"/>
      <c r="J173" s="2100">
        <f>SUM(J159:J163)+J168</f>
        <v>2.24</v>
      </c>
      <c r="K173" s="651" t="s">
        <v>622</v>
      </c>
      <c r="L173" s="1290">
        <f>SUM(L159:L164)+L168</f>
        <v>4.053</v>
      </c>
      <c r="M173" s="2104">
        <f>M159+M162+M163+M168</f>
        <v>6.293</v>
      </c>
      <c r="N173" s="2109" t="s">
        <v>622</v>
      </c>
      <c r="O173" s="645"/>
      <c r="P173" s="1578"/>
      <c r="R173" s="2565"/>
      <c r="S173" s="2565"/>
      <c r="T173" s="2565"/>
      <c r="U173" s="2565"/>
      <c r="V173" s="2565"/>
      <c r="W173" s="2565"/>
      <c r="X173" s="2565"/>
      <c r="Y173" s="2565"/>
      <c r="Z173" s="2565"/>
      <c r="AA173" s="2565"/>
      <c r="AB173" s="2565"/>
    </row>
    <row r="174" spans="1:16" ht="15" hidden="1">
      <c r="A174" s="190"/>
      <c r="B174" s="523"/>
      <c r="C174" s="278"/>
      <c r="D174" s="278"/>
      <c r="E174" s="278"/>
      <c r="F174" s="278"/>
      <c r="G174" s="279" t="str">
        <f>G169</f>
        <v>Сифилис</v>
      </c>
      <c r="H174" s="529"/>
      <c r="I174" s="234"/>
      <c r="J174" s="2101">
        <f>SUM(J159:J169)-J166-J167-J168</f>
        <v>3.180000000000001</v>
      </c>
      <c r="K174" s="293" t="s">
        <v>622</v>
      </c>
      <c r="L174" s="1638">
        <f>SUM(L159:L169)-L166-L167-L168</f>
        <v>7.111999999999999</v>
      </c>
      <c r="M174" s="2105">
        <f>SUM(M159:M169)-M166-M167-M168</f>
        <v>10.292</v>
      </c>
      <c r="N174" s="2109" t="s">
        <v>622</v>
      </c>
      <c r="O174" s="522"/>
      <c r="P174" s="123"/>
    </row>
    <row r="175" spans="1:16" ht="15">
      <c r="A175" s="194"/>
      <c r="B175" s="522"/>
      <c r="F175" s="2430" t="s">
        <v>230</v>
      </c>
      <c r="G175" s="2431"/>
      <c r="H175" s="158"/>
      <c r="I175" s="121"/>
      <c r="J175" s="2102">
        <f>J159+J162+J163+J170</f>
        <v>2.24</v>
      </c>
      <c r="K175" s="209" t="s">
        <v>622</v>
      </c>
      <c r="L175" s="1292">
        <f>L162+L163+L159+L170</f>
        <v>3.7714</v>
      </c>
      <c r="M175" s="2106">
        <f>M159+M162+M163+M170</f>
        <v>6.011399999999999</v>
      </c>
      <c r="N175" s="2109" t="s">
        <v>622</v>
      </c>
      <c r="O175" s="522"/>
      <c r="P175" s="123"/>
    </row>
    <row r="176" spans="3:16" ht="14.25" customHeight="1" hidden="1">
      <c r="C176" s="2098"/>
      <c r="D176" s="2098"/>
      <c r="E176" s="2098"/>
      <c r="F176" s="2299" t="s">
        <v>339</v>
      </c>
      <c r="G176" s="2300"/>
      <c r="H176" s="530"/>
      <c r="I176" s="121"/>
      <c r="J176" s="2097">
        <f>J159+J162+J163+J165</f>
        <v>2.24</v>
      </c>
      <c r="K176" s="209" t="s">
        <v>622</v>
      </c>
      <c r="L176" s="1288">
        <f>L159+L162+L163+L165</f>
        <v>3.5787999999999993</v>
      </c>
      <c r="M176" s="2106">
        <f>M159+M162+M163+M165</f>
        <v>5.8187999999999995</v>
      </c>
      <c r="N176" s="2109" t="s">
        <v>622</v>
      </c>
      <c r="O176" s="522"/>
      <c r="P176" s="123"/>
    </row>
    <row r="177" spans="1:16" ht="31.5" customHeight="1">
      <c r="A177" s="513">
        <v>2</v>
      </c>
      <c r="B177" s="2371" t="s">
        <v>85</v>
      </c>
      <c r="C177" s="2355"/>
      <c r="D177" s="2355"/>
      <c r="E177" s="2355"/>
      <c r="F177" s="2355"/>
      <c r="G177" s="2372"/>
      <c r="H177" s="530"/>
      <c r="I177" s="121"/>
      <c r="J177" s="219"/>
      <c r="K177" s="219"/>
      <c r="L177" s="1637"/>
      <c r="M177" s="509"/>
      <c r="N177" s="1582"/>
      <c r="O177" s="522"/>
      <c r="P177" s="123"/>
    </row>
    <row r="178" spans="1:16" ht="14.25" customHeight="1">
      <c r="A178" s="194">
        <v>1</v>
      </c>
      <c r="B178" s="2265" t="s">
        <v>936</v>
      </c>
      <c r="C178" s="2266"/>
      <c r="D178" s="2266"/>
      <c r="E178" s="2266"/>
      <c r="F178" s="2266"/>
      <c r="G178" s="2267"/>
      <c r="H178" s="511"/>
      <c r="I178" s="532"/>
      <c r="J178" s="122"/>
      <c r="K178" s="122"/>
      <c r="L178" s="1627"/>
      <c r="M178" s="229"/>
      <c r="N178" s="1582"/>
      <c r="O178" s="522"/>
      <c r="P178" s="123"/>
    </row>
    <row r="179" spans="1:16" ht="14.25" customHeight="1">
      <c r="A179" s="514"/>
      <c r="B179" s="2265"/>
      <c r="C179" s="2266"/>
      <c r="D179" s="2266"/>
      <c r="E179" s="2266"/>
      <c r="F179" s="2266"/>
      <c r="G179" s="2267"/>
      <c r="H179" s="511">
        <v>1.2</v>
      </c>
      <c r="I179" s="532" t="s">
        <v>937</v>
      </c>
      <c r="J179" s="122">
        <f>J159</f>
        <v>0.47</v>
      </c>
      <c r="K179" s="122">
        <f>K159</f>
        <v>0.47</v>
      </c>
      <c r="L179" s="1627"/>
      <c r="M179" s="291">
        <f>J179+L179</f>
        <v>0.47</v>
      </c>
      <c r="N179" s="1636">
        <f>K179+L179</f>
        <v>0.47</v>
      </c>
      <c r="O179" s="522"/>
      <c r="P179" s="123"/>
    </row>
    <row r="180" spans="1:16" ht="14.25" customHeight="1">
      <c r="A180" s="514"/>
      <c r="B180" s="2265"/>
      <c r="C180" s="2266"/>
      <c r="D180" s="2266"/>
      <c r="E180" s="2266"/>
      <c r="F180" s="2266"/>
      <c r="G180" s="2267"/>
      <c r="H180" s="511"/>
      <c r="I180" s="532" t="s">
        <v>938</v>
      </c>
      <c r="J180" s="122"/>
      <c r="K180" s="122"/>
      <c r="L180" s="1627"/>
      <c r="M180" s="291"/>
      <c r="N180" s="1582"/>
      <c r="O180" s="522"/>
      <c r="P180" s="123"/>
    </row>
    <row r="181" spans="1:16" ht="14.25" customHeight="1">
      <c r="A181" s="514"/>
      <c r="B181" s="2265"/>
      <c r="C181" s="2266"/>
      <c r="D181" s="2266"/>
      <c r="E181" s="2266"/>
      <c r="F181" s="2266"/>
      <c r="G181" s="2267"/>
      <c r="H181" s="511"/>
      <c r="I181" s="532"/>
      <c r="J181" s="122"/>
      <c r="K181" s="122"/>
      <c r="L181" s="1627"/>
      <c r="M181" s="291"/>
      <c r="N181" s="1582"/>
      <c r="O181" s="522"/>
      <c r="P181" s="123"/>
    </row>
    <row r="182" spans="1:16" ht="14.25" customHeight="1">
      <c r="A182" s="514">
        <v>2</v>
      </c>
      <c r="B182" s="521" t="s">
        <v>875</v>
      </c>
      <c r="C182" s="207"/>
      <c r="D182" s="207"/>
      <c r="E182" s="207"/>
      <c r="F182" s="207"/>
      <c r="G182" s="208"/>
      <c r="H182" s="158">
        <v>1.4</v>
      </c>
      <c r="I182" s="532" t="s">
        <v>873</v>
      </c>
      <c r="J182" s="122">
        <f aca="true" t="shared" si="27" ref="J182:L183">J162</f>
        <v>0.52</v>
      </c>
      <c r="K182" s="122">
        <f t="shared" si="27"/>
        <v>0.52</v>
      </c>
      <c r="L182" s="1627">
        <f t="shared" si="27"/>
        <v>0.5331999999999999</v>
      </c>
      <c r="M182" s="291">
        <f>J182+L182</f>
        <v>1.0532</v>
      </c>
      <c r="N182" s="1636">
        <f>K182+L182</f>
        <v>1.0532</v>
      </c>
      <c r="O182" s="522"/>
      <c r="P182" s="123"/>
    </row>
    <row r="183" spans="1:16" ht="14.25" customHeight="1">
      <c r="A183" s="514">
        <v>3</v>
      </c>
      <c r="B183" s="2265" t="s">
        <v>941</v>
      </c>
      <c r="C183" s="2266"/>
      <c r="D183" s="2266"/>
      <c r="E183" s="2266"/>
      <c r="F183" s="2266"/>
      <c r="G183" s="2267"/>
      <c r="H183" s="158">
        <v>1.5</v>
      </c>
      <c r="I183" s="532" t="s">
        <v>873</v>
      </c>
      <c r="J183" s="122">
        <f t="shared" si="27"/>
        <v>0.31</v>
      </c>
      <c r="K183" s="122">
        <f t="shared" si="27"/>
        <v>0.31</v>
      </c>
      <c r="L183" s="1627">
        <f t="shared" si="27"/>
        <v>0.0826</v>
      </c>
      <c r="M183" s="291">
        <f>J183+L183</f>
        <v>0.3926</v>
      </c>
      <c r="N183" s="1636">
        <f>K183+L183</f>
        <v>0.3926</v>
      </c>
      <c r="O183" s="522"/>
      <c r="P183" s="123"/>
    </row>
    <row r="184" spans="1:16" ht="14.25" customHeight="1">
      <c r="A184" s="514"/>
      <c r="B184" s="2265"/>
      <c r="C184" s="2266"/>
      <c r="D184" s="2266"/>
      <c r="E184" s="2266"/>
      <c r="F184" s="2266"/>
      <c r="G184" s="2267"/>
      <c r="H184" s="158"/>
      <c r="I184" s="532"/>
      <c r="J184" s="122"/>
      <c r="K184" s="122"/>
      <c r="L184" s="1627"/>
      <c r="M184" s="291"/>
      <c r="N184" s="1636"/>
      <c r="O184" s="522"/>
      <c r="P184" s="123"/>
    </row>
    <row r="185" spans="1:16" ht="14.25" customHeight="1">
      <c r="A185" s="514"/>
      <c r="B185" s="2265" t="s">
        <v>86</v>
      </c>
      <c r="C185" s="2266"/>
      <c r="D185" s="2266"/>
      <c r="E185" s="2266"/>
      <c r="F185" s="242"/>
      <c r="G185" s="198"/>
      <c r="H185" s="158"/>
      <c r="I185" s="532"/>
      <c r="J185" s="122"/>
      <c r="K185" s="122"/>
      <c r="L185" s="1627"/>
      <c r="M185" s="291"/>
      <c r="N185" s="1636"/>
      <c r="O185" s="522"/>
      <c r="P185" s="123"/>
    </row>
    <row r="186" spans="1:16" ht="14.25" customHeight="1">
      <c r="A186" s="194">
        <v>4</v>
      </c>
      <c r="B186" s="2265"/>
      <c r="C186" s="2266"/>
      <c r="D186" s="2266"/>
      <c r="E186" s="2266"/>
      <c r="F186" s="1728" t="s">
        <v>156</v>
      </c>
      <c r="G186" s="1727"/>
      <c r="H186" s="528" t="s">
        <v>87</v>
      </c>
      <c r="I186" s="533" t="s">
        <v>945</v>
      </c>
      <c r="J186" s="239">
        <f aca="true" t="shared" si="28" ref="J186:K188">J99</f>
        <v>2.06</v>
      </c>
      <c r="K186" s="239">
        <f t="shared" si="28"/>
        <v>0.72</v>
      </c>
      <c r="L186" s="1627">
        <f>L99</f>
        <v>3.343</v>
      </c>
      <c r="M186" s="291">
        <f>J186+L186</f>
        <v>5.4030000000000005</v>
      </c>
      <c r="N186" s="1636">
        <f>K186+L186</f>
        <v>4.063</v>
      </c>
      <c r="O186" s="522"/>
      <c r="P186" s="123"/>
    </row>
    <row r="187" spans="1:16" ht="14.25" customHeight="1">
      <c r="A187" s="194"/>
      <c r="B187" s="282"/>
      <c r="C187" s="242"/>
      <c r="D187" s="242"/>
      <c r="E187" s="242"/>
      <c r="F187" s="1728" t="s">
        <v>122</v>
      </c>
      <c r="G187" s="1727"/>
      <c r="H187" s="511"/>
      <c r="I187" s="121"/>
      <c r="J187" s="239">
        <f t="shared" si="28"/>
        <v>2.06</v>
      </c>
      <c r="K187" s="239">
        <f t="shared" si="28"/>
        <v>0.72</v>
      </c>
      <c r="L187" s="1627">
        <f>L100</f>
        <v>9.8866</v>
      </c>
      <c r="M187" s="291">
        <f>J187+L187</f>
        <v>11.9466</v>
      </c>
      <c r="N187" s="1636">
        <f>K187+L187</f>
        <v>10.6066</v>
      </c>
      <c r="O187" s="522"/>
      <c r="P187" s="123"/>
    </row>
    <row r="188" spans="1:16" ht="14.25" customHeight="1">
      <c r="A188" s="194"/>
      <c r="B188" s="282"/>
      <c r="C188" s="242"/>
      <c r="D188" s="242"/>
      <c r="E188" s="242"/>
      <c r="F188" s="2351" t="str">
        <f>G101</f>
        <v>СА 19-9</v>
      </c>
      <c r="G188" s="2352"/>
      <c r="H188" s="511"/>
      <c r="I188" s="121"/>
      <c r="J188" s="239">
        <f t="shared" si="28"/>
        <v>2.06</v>
      </c>
      <c r="K188" s="239">
        <f t="shared" si="28"/>
        <v>0.72</v>
      </c>
      <c r="L188" s="1627">
        <f>L101</f>
        <v>11.5797</v>
      </c>
      <c r="M188" s="291">
        <f>J188+L188</f>
        <v>13.639700000000001</v>
      </c>
      <c r="N188" s="1636">
        <f>K188+L188</f>
        <v>12.299700000000001</v>
      </c>
      <c r="O188" s="522"/>
      <c r="P188" s="123"/>
    </row>
    <row r="189" spans="1:16" ht="14.25" customHeight="1">
      <c r="A189" s="194"/>
      <c r="B189" s="196"/>
      <c r="C189" s="197"/>
      <c r="D189" s="197"/>
      <c r="E189" s="197"/>
      <c r="F189" s="197"/>
      <c r="G189" s="198"/>
      <c r="H189" s="511"/>
      <c r="I189" s="121"/>
      <c r="J189" s="219"/>
      <c r="K189" s="219"/>
      <c r="L189" s="1637"/>
      <c r="M189" s="509"/>
      <c r="N189" s="1582"/>
      <c r="O189" s="522"/>
      <c r="P189" s="123"/>
    </row>
    <row r="190" spans="1:16" ht="14.25" customHeight="1">
      <c r="A190" s="194"/>
      <c r="B190" s="524"/>
      <c r="C190" s="243"/>
      <c r="D190" s="274" t="s">
        <v>919</v>
      </c>
      <c r="E190" s="197"/>
      <c r="F190" s="2299" t="s">
        <v>156</v>
      </c>
      <c r="G190" s="2300"/>
      <c r="H190" s="511"/>
      <c r="I190" s="121"/>
      <c r="J190" s="270">
        <f>SUM(J179:J186)</f>
        <v>3.3600000000000003</v>
      </c>
      <c r="K190" s="270">
        <f>SUM(K179:K186)</f>
        <v>2.02</v>
      </c>
      <c r="L190" s="1639">
        <f>SUM(L179:L186)</f>
        <v>3.9588</v>
      </c>
      <c r="M190" s="229">
        <f>SUM(M179:M186)</f>
        <v>7.3188</v>
      </c>
      <c r="N190" s="483">
        <f>SUM(N179:N186)</f>
        <v>5.9788</v>
      </c>
      <c r="O190" s="522"/>
      <c r="P190" s="123"/>
    </row>
    <row r="191" spans="1:16" ht="14.25" customHeight="1">
      <c r="A191" s="194"/>
      <c r="B191" s="524"/>
      <c r="C191" s="243"/>
      <c r="D191" s="274"/>
      <c r="E191" s="197"/>
      <c r="F191" s="2299" t="s">
        <v>157</v>
      </c>
      <c r="G191" s="2300"/>
      <c r="H191" s="511"/>
      <c r="I191" s="121"/>
      <c r="J191" s="291">
        <f>SUM(J179:J187)-J186</f>
        <v>3.36</v>
      </c>
      <c r="K191" s="291">
        <f>SUM(K179:K187)-K186</f>
        <v>2.0200000000000005</v>
      </c>
      <c r="L191" s="1639">
        <f>SUM(L179:L187)-L186</f>
        <v>10.5024</v>
      </c>
      <c r="M191" s="229">
        <f>SUM(M179:M187)-M186</f>
        <v>13.8624</v>
      </c>
      <c r="N191" s="483">
        <f>SUM(N179:N187)-N186</f>
        <v>12.522400000000001</v>
      </c>
      <c r="O191" s="522"/>
      <c r="P191" s="123"/>
    </row>
    <row r="192" spans="1:16" ht="14.25" customHeight="1">
      <c r="A192" s="194"/>
      <c r="B192" s="524"/>
      <c r="C192" s="243"/>
      <c r="D192" s="274"/>
      <c r="E192" s="197"/>
      <c r="F192" s="2299" t="str">
        <f>G101</f>
        <v>СА 19-9</v>
      </c>
      <c r="G192" s="2300"/>
      <c r="H192" s="511"/>
      <c r="I192" s="121"/>
      <c r="J192" s="291">
        <f>SUM(J179:J184)+J188</f>
        <v>3.3600000000000003</v>
      </c>
      <c r="K192" s="291">
        <f>SUM(K179:K184)+K188</f>
        <v>2.02</v>
      </c>
      <c r="L192" s="1639">
        <f>SUM(L179:L184)+L188</f>
        <v>12.195500000000001</v>
      </c>
      <c r="M192" s="229">
        <f>SUM(M179:M184)+M188</f>
        <v>15.555500000000002</v>
      </c>
      <c r="N192" s="483">
        <f>SUM(N179:N184)+N188</f>
        <v>14.215500000000002</v>
      </c>
      <c r="O192" s="522"/>
      <c r="P192" s="123"/>
    </row>
    <row r="193" spans="1:16" ht="14.25" customHeight="1">
      <c r="A193" s="194"/>
      <c r="B193" s="524"/>
      <c r="C193" s="243"/>
      <c r="D193" s="274"/>
      <c r="E193" s="197"/>
      <c r="F193" s="508"/>
      <c r="G193" s="240"/>
      <c r="H193" s="511"/>
      <c r="I193" s="121"/>
      <c r="J193" s="291"/>
      <c r="K193" s="291"/>
      <c r="L193" s="1639"/>
      <c r="M193" s="229"/>
      <c r="N193" s="483"/>
      <c r="O193" s="522"/>
      <c r="P193" s="123"/>
    </row>
    <row r="194" spans="1:16" ht="14.25" customHeight="1">
      <c r="A194" s="513">
        <v>3</v>
      </c>
      <c r="B194" s="525" t="s">
        <v>88</v>
      </c>
      <c r="C194" s="243"/>
      <c r="D194" s="243"/>
      <c r="E194" s="197"/>
      <c r="F194" s="197"/>
      <c r="G194" s="198"/>
      <c r="H194" s="511"/>
      <c r="I194" s="121"/>
      <c r="J194" s="219"/>
      <c r="K194" s="219"/>
      <c r="L194" s="1637"/>
      <c r="M194" s="509"/>
      <c r="N194" s="1582"/>
      <c r="O194" s="522"/>
      <c r="P194" s="123"/>
    </row>
    <row r="195" spans="1:16" ht="14.25" customHeight="1">
      <c r="A195" s="194">
        <v>1</v>
      </c>
      <c r="B195" s="2265" t="s">
        <v>936</v>
      </c>
      <c r="C195" s="2266"/>
      <c r="D195" s="2266"/>
      <c r="E195" s="2266"/>
      <c r="F195" s="2266"/>
      <c r="G195" s="2267"/>
      <c r="H195" s="511"/>
      <c r="I195" s="532"/>
      <c r="J195" s="122"/>
      <c r="K195" s="122"/>
      <c r="L195" s="1627"/>
      <c r="M195" s="229"/>
      <c r="N195" s="1582"/>
      <c r="O195" s="522"/>
      <c r="P195" s="123"/>
    </row>
    <row r="196" spans="1:16" ht="14.25" customHeight="1">
      <c r="A196" s="194"/>
      <c r="B196" s="2265"/>
      <c r="C196" s="2266"/>
      <c r="D196" s="2266"/>
      <c r="E196" s="2266"/>
      <c r="F196" s="2266"/>
      <c r="G196" s="2267"/>
      <c r="H196" s="511">
        <v>1.2</v>
      </c>
      <c r="I196" s="532" t="s">
        <v>937</v>
      </c>
      <c r="J196" s="122">
        <f>J23</f>
        <v>0.47</v>
      </c>
      <c r="K196" s="122">
        <f>K23</f>
        <v>0.47</v>
      </c>
      <c r="L196" s="1627"/>
      <c r="M196" s="291">
        <f>J196+L196</f>
        <v>0.47</v>
      </c>
      <c r="N196" s="1636">
        <f>K196+L196</f>
        <v>0.47</v>
      </c>
      <c r="O196" s="522"/>
      <c r="P196" s="123"/>
    </row>
    <row r="197" spans="1:16" ht="14.25" customHeight="1">
      <c r="A197" s="194"/>
      <c r="B197" s="2265"/>
      <c r="C197" s="2266"/>
      <c r="D197" s="2266"/>
      <c r="E197" s="2266"/>
      <c r="F197" s="2266"/>
      <c r="G197" s="2267"/>
      <c r="H197" s="511"/>
      <c r="I197" s="532" t="s">
        <v>938</v>
      </c>
      <c r="J197" s="122"/>
      <c r="K197" s="122"/>
      <c r="L197" s="1627"/>
      <c r="M197" s="291"/>
      <c r="N197" s="1582"/>
      <c r="O197" s="522"/>
      <c r="P197" s="123"/>
    </row>
    <row r="198" spans="1:16" ht="14.25" customHeight="1">
      <c r="A198" s="194"/>
      <c r="B198" s="2265"/>
      <c r="C198" s="2266"/>
      <c r="D198" s="2266"/>
      <c r="E198" s="2266"/>
      <c r="F198" s="2266"/>
      <c r="G198" s="2267"/>
      <c r="H198" s="511"/>
      <c r="I198" s="532"/>
      <c r="J198" s="122"/>
      <c r="K198" s="122"/>
      <c r="L198" s="1627"/>
      <c r="M198" s="291"/>
      <c r="N198" s="1582"/>
      <c r="O198" s="522"/>
      <c r="P198" s="123"/>
    </row>
    <row r="199" spans="1:16" ht="14.25" customHeight="1">
      <c r="A199" s="194">
        <v>2</v>
      </c>
      <c r="B199" s="2265" t="s">
        <v>940</v>
      </c>
      <c r="C199" s="2266"/>
      <c r="D199" s="2266"/>
      <c r="E199" s="2266"/>
      <c r="F199" s="2266"/>
      <c r="G199" s="2267"/>
      <c r="H199" s="242"/>
      <c r="I199" s="532"/>
      <c r="J199" s="122"/>
      <c r="K199" s="122"/>
      <c r="L199" s="1627"/>
      <c r="M199" s="229"/>
      <c r="N199" s="1582"/>
      <c r="O199" s="522"/>
      <c r="P199" s="123"/>
    </row>
    <row r="200" spans="1:16" ht="14.25" customHeight="1">
      <c r="A200" s="194"/>
      <c r="B200" s="2265"/>
      <c r="C200" s="2266"/>
      <c r="D200" s="2266"/>
      <c r="E200" s="2266"/>
      <c r="F200" s="2266"/>
      <c r="G200" s="2267"/>
      <c r="H200" s="511" t="s">
        <v>89</v>
      </c>
      <c r="I200" s="532" t="s">
        <v>873</v>
      </c>
      <c r="J200" s="122">
        <f>J28</f>
        <v>0.42</v>
      </c>
      <c r="K200" s="122">
        <f>K28</f>
        <v>0.42</v>
      </c>
      <c r="L200" s="1627">
        <f>L28</f>
        <v>0.0954</v>
      </c>
      <c r="M200" s="291">
        <f>J200+L200</f>
        <v>0.5154</v>
      </c>
      <c r="N200" s="1636">
        <f>K200+L200</f>
        <v>0.5154</v>
      </c>
      <c r="O200" s="522"/>
      <c r="P200" s="123"/>
    </row>
    <row r="201" spans="1:16" ht="14.25" customHeight="1">
      <c r="A201" s="194"/>
      <c r="B201" s="2265"/>
      <c r="C201" s="2266"/>
      <c r="D201" s="2266"/>
      <c r="E201" s="2266"/>
      <c r="F201" s="2266"/>
      <c r="G201" s="2267"/>
      <c r="H201" s="511"/>
      <c r="I201" s="532"/>
      <c r="J201" s="122"/>
      <c r="K201" s="122"/>
      <c r="L201" s="1627"/>
      <c r="M201" s="291"/>
      <c r="N201" s="1636"/>
      <c r="O201" s="522"/>
      <c r="P201" s="123"/>
    </row>
    <row r="202" spans="1:16" ht="14.25" customHeight="1">
      <c r="A202" s="194">
        <v>3</v>
      </c>
      <c r="B202" s="521" t="s">
        <v>956</v>
      </c>
      <c r="G202" s="219"/>
      <c r="H202" s="119">
        <v>3.1</v>
      </c>
      <c r="I202" s="533" t="s">
        <v>945</v>
      </c>
      <c r="J202" s="122">
        <f aca="true" t="shared" si="29" ref="J202:L203">J46</f>
        <v>0.42</v>
      </c>
      <c r="K202" s="122">
        <f t="shared" si="29"/>
        <v>0.26</v>
      </c>
      <c r="L202" s="1627">
        <f t="shared" si="29"/>
        <v>0.059199999999999996</v>
      </c>
      <c r="M202" s="291">
        <f>J202+L202</f>
        <v>0.47919999999999996</v>
      </c>
      <c r="N202" s="1636">
        <f>K202+L202</f>
        <v>0.3192</v>
      </c>
      <c r="O202" s="522"/>
      <c r="P202" s="123"/>
    </row>
    <row r="203" spans="1:16" ht="14.25" customHeight="1">
      <c r="A203" s="194">
        <v>4</v>
      </c>
      <c r="B203" s="521" t="s">
        <v>957</v>
      </c>
      <c r="G203" s="219"/>
      <c r="H203" s="119">
        <v>3.2</v>
      </c>
      <c r="I203" s="533" t="s">
        <v>945</v>
      </c>
      <c r="J203" s="122">
        <f t="shared" si="29"/>
        <v>0.98</v>
      </c>
      <c r="K203" s="122">
        <f t="shared" si="29"/>
        <v>0.72</v>
      </c>
      <c r="L203" s="1627">
        <f t="shared" si="29"/>
        <v>0.40800000000000003</v>
      </c>
      <c r="M203" s="291">
        <f>J203+L203</f>
        <v>1.388</v>
      </c>
      <c r="N203" s="1636">
        <f>K203+L203</f>
        <v>1.1280000000000001</v>
      </c>
      <c r="O203" s="522"/>
      <c r="P203" s="123"/>
    </row>
    <row r="204" spans="1:16" ht="14.25" customHeight="1">
      <c r="A204" s="194">
        <v>5</v>
      </c>
      <c r="B204" s="521" t="s">
        <v>1</v>
      </c>
      <c r="G204" s="219"/>
      <c r="H204" s="119">
        <v>3.7</v>
      </c>
      <c r="I204" s="533" t="s">
        <v>945</v>
      </c>
      <c r="J204" s="122">
        <f>J50</f>
        <v>0.2</v>
      </c>
      <c r="K204" s="122">
        <f>K50</f>
        <v>0.2</v>
      </c>
      <c r="L204" s="1627">
        <f>'[1]лаб.'!$J$80</f>
        <v>0</v>
      </c>
      <c r="M204" s="291">
        <f>J204+L204</f>
        <v>0.2</v>
      </c>
      <c r="N204" s="1636">
        <f>K204+L204</f>
        <v>0.2</v>
      </c>
      <c r="O204" s="522"/>
      <c r="P204" s="123"/>
    </row>
    <row r="205" spans="1:16" ht="14.25" customHeight="1">
      <c r="A205" s="194">
        <v>6</v>
      </c>
      <c r="B205" s="2265" t="s">
        <v>2</v>
      </c>
      <c r="C205" s="2266"/>
      <c r="D205" s="2266"/>
      <c r="E205" s="2266"/>
      <c r="F205" s="2266"/>
      <c r="G205" s="2267"/>
      <c r="H205" s="536" t="s">
        <v>309</v>
      </c>
      <c r="I205" s="533" t="s">
        <v>945</v>
      </c>
      <c r="J205" s="122">
        <f>J51</f>
        <v>0.67</v>
      </c>
      <c r="K205" s="122">
        <f>K51</f>
        <v>0.52</v>
      </c>
      <c r="L205" s="1627">
        <f>L51</f>
        <v>0.388</v>
      </c>
      <c r="M205" s="291">
        <f>J205+L205</f>
        <v>1.058</v>
      </c>
      <c r="N205" s="1636">
        <f>K205+L205</f>
        <v>0.908</v>
      </c>
      <c r="O205" s="522"/>
      <c r="P205" s="123"/>
    </row>
    <row r="206" spans="1:16" ht="14.25" customHeight="1">
      <c r="A206" s="194"/>
      <c r="B206" s="2265"/>
      <c r="C206" s="2266"/>
      <c r="D206" s="2266"/>
      <c r="E206" s="2266"/>
      <c r="F206" s="2266"/>
      <c r="G206" s="2267"/>
      <c r="H206" s="536"/>
      <c r="I206" s="533"/>
      <c r="J206" s="122"/>
      <c r="K206" s="122"/>
      <c r="L206" s="1627"/>
      <c r="M206" s="291"/>
      <c r="N206" s="1636"/>
      <c r="O206" s="522"/>
      <c r="P206" s="123"/>
    </row>
    <row r="207" spans="1:16" ht="14.25" customHeight="1">
      <c r="A207" s="194">
        <v>7</v>
      </c>
      <c r="B207" s="2265" t="s">
        <v>3</v>
      </c>
      <c r="C207" s="2266"/>
      <c r="D207" s="2266"/>
      <c r="E207" s="2266"/>
      <c r="F207" s="2266"/>
      <c r="G207" s="2267"/>
      <c r="H207" s="536"/>
      <c r="I207" s="534"/>
      <c r="J207" s="122"/>
      <c r="K207" s="122"/>
      <c r="L207" s="1627"/>
      <c r="M207" s="291"/>
      <c r="N207" s="1582"/>
      <c r="O207" s="522"/>
      <c r="P207" s="123"/>
    </row>
    <row r="208" spans="1:16" ht="14.25" customHeight="1">
      <c r="A208" s="194"/>
      <c r="B208" s="2265"/>
      <c r="C208" s="2266"/>
      <c r="D208" s="2266"/>
      <c r="E208" s="2266"/>
      <c r="F208" s="2266"/>
      <c r="G208" s="2267"/>
      <c r="H208" s="536" t="s">
        <v>310</v>
      </c>
      <c r="I208" s="533" t="s">
        <v>945</v>
      </c>
      <c r="J208" s="122">
        <f>J54</f>
        <v>1.3</v>
      </c>
      <c r="K208" s="122">
        <f>K54</f>
        <v>0.72</v>
      </c>
      <c r="L208" s="1627">
        <f>L54</f>
        <v>0.11055999999999999</v>
      </c>
      <c r="M208" s="291">
        <f>J208+L208</f>
        <v>1.41056</v>
      </c>
      <c r="N208" s="1636">
        <f>K208+L208</f>
        <v>0.83056</v>
      </c>
      <c r="O208" s="522"/>
      <c r="P208" s="123"/>
    </row>
    <row r="209" spans="1:16" ht="14.25" customHeight="1">
      <c r="A209" s="194"/>
      <c r="B209" s="2265"/>
      <c r="C209" s="2266"/>
      <c r="D209" s="2266"/>
      <c r="E209" s="2266"/>
      <c r="F209" s="2266"/>
      <c r="G209" s="2267"/>
      <c r="H209" s="537"/>
      <c r="I209" s="533"/>
      <c r="J209" s="122"/>
      <c r="K209" s="122"/>
      <c r="L209" s="1627"/>
      <c r="M209" s="229"/>
      <c r="N209" s="483"/>
      <c r="O209" s="522"/>
      <c r="P209" s="123"/>
    </row>
    <row r="210" spans="1:16" ht="14.25" customHeight="1">
      <c r="A210" s="190"/>
      <c r="B210" s="526"/>
      <c r="C210" s="283"/>
      <c r="D210" s="284" t="s">
        <v>919</v>
      </c>
      <c r="E210" s="283"/>
      <c r="F210" s="283"/>
      <c r="G210" s="287"/>
      <c r="H210" s="283"/>
      <c r="I210" s="234"/>
      <c r="J210" s="120">
        <f>SUM(J196:J209)</f>
        <v>4.46</v>
      </c>
      <c r="K210" s="120">
        <f>SUM(K196:K209)</f>
        <v>3.3099999999999996</v>
      </c>
      <c r="L210" s="1640">
        <f>SUM(L196:L209)</f>
        <v>1.06116</v>
      </c>
      <c r="M210" s="248">
        <f>SUM(M196:M209)</f>
        <v>5.52116</v>
      </c>
      <c r="N210" s="718">
        <f>SUM(N196:N209)</f>
        <v>4.37116</v>
      </c>
      <c r="O210" s="522"/>
      <c r="P210" s="123"/>
    </row>
    <row r="211" spans="1:16" ht="14.25" customHeight="1">
      <c r="A211" s="214">
        <v>4</v>
      </c>
      <c r="B211" s="289" t="s">
        <v>90</v>
      </c>
      <c r="C211" s="243"/>
      <c r="D211" s="243"/>
      <c r="E211" s="243"/>
      <c r="F211" s="243"/>
      <c r="G211" s="244"/>
      <c r="H211" s="290"/>
      <c r="I211" s="122"/>
      <c r="J211" s="219"/>
      <c r="K211" s="219"/>
      <c r="L211" s="1637"/>
      <c r="M211" s="509"/>
      <c r="N211" s="1582"/>
      <c r="O211" s="522"/>
      <c r="P211" s="123"/>
    </row>
    <row r="212" spans="1:16" ht="14.25" customHeight="1">
      <c r="A212" s="187">
        <v>1</v>
      </c>
      <c r="B212" s="2266" t="s">
        <v>936</v>
      </c>
      <c r="C212" s="2266"/>
      <c r="D212" s="2266"/>
      <c r="E212" s="2266"/>
      <c r="F212" s="2266"/>
      <c r="G212" s="2267"/>
      <c r="H212" s="268"/>
      <c r="I212" s="216"/>
      <c r="J212" s="122"/>
      <c r="K212" s="122"/>
      <c r="L212" s="1627"/>
      <c r="M212" s="229"/>
      <c r="N212" s="1582"/>
      <c r="O212" s="522"/>
      <c r="P212" s="123"/>
    </row>
    <row r="213" spans="1:16" ht="14.25" customHeight="1">
      <c r="A213" s="187"/>
      <c r="B213" s="2266"/>
      <c r="C213" s="2266"/>
      <c r="D213" s="2266"/>
      <c r="E213" s="2266"/>
      <c r="F213" s="2266"/>
      <c r="G213" s="2267"/>
      <c r="H213" s="268">
        <v>1.2</v>
      </c>
      <c r="I213" s="216" t="s">
        <v>937</v>
      </c>
      <c r="J213" s="122">
        <f>J196</f>
        <v>0.47</v>
      </c>
      <c r="K213" s="121">
        <f>K196</f>
        <v>0.47</v>
      </c>
      <c r="L213" s="1627"/>
      <c r="M213" s="291">
        <f>J213+L213</f>
        <v>0.47</v>
      </c>
      <c r="N213" s="1636">
        <f>K213+L213</f>
        <v>0.47</v>
      </c>
      <c r="O213" s="522"/>
      <c r="P213" s="123"/>
    </row>
    <row r="214" spans="1:16" ht="14.25" customHeight="1">
      <c r="A214" s="187"/>
      <c r="B214" s="2266"/>
      <c r="C214" s="2266"/>
      <c r="D214" s="2266"/>
      <c r="E214" s="2266"/>
      <c r="F214" s="2266"/>
      <c r="G214" s="2267"/>
      <c r="H214" s="268"/>
      <c r="I214" s="216" t="s">
        <v>938</v>
      </c>
      <c r="J214" s="122"/>
      <c r="K214" s="122"/>
      <c r="L214" s="1627"/>
      <c r="M214" s="291"/>
      <c r="N214" s="1582"/>
      <c r="O214" s="522"/>
      <c r="P214" s="123"/>
    </row>
    <row r="215" spans="1:16" ht="14.25" customHeight="1">
      <c r="A215" s="187"/>
      <c r="B215" s="2266"/>
      <c r="C215" s="2266"/>
      <c r="D215" s="2266"/>
      <c r="E215" s="2266"/>
      <c r="F215" s="2266"/>
      <c r="G215" s="2267"/>
      <c r="H215" s="268"/>
      <c r="I215" s="216"/>
      <c r="J215" s="122"/>
      <c r="K215" s="122"/>
      <c r="L215" s="1627"/>
      <c r="M215" s="291"/>
      <c r="N215" s="1582"/>
      <c r="O215" s="522"/>
      <c r="P215" s="123"/>
    </row>
    <row r="216" spans="1:16" ht="14.25" customHeight="1">
      <c r="A216" s="187">
        <v>2</v>
      </c>
      <c r="B216" s="2266" t="s">
        <v>940</v>
      </c>
      <c r="C216" s="2266"/>
      <c r="D216" s="2266"/>
      <c r="E216" s="2266"/>
      <c r="F216" s="2266"/>
      <c r="G216" s="2267"/>
      <c r="H216" s="286"/>
      <c r="I216" s="216"/>
      <c r="J216" s="122"/>
      <c r="K216" s="122"/>
      <c r="L216" s="1627"/>
      <c r="M216" s="291"/>
      <c r="N216" s="1582"/>
      <c r="O216" s="522"/>
      <c r="P216" s="123"/>
    </row>
    <row r="217" spans="1:16" ht="14.25" customHeight="1">
      <c r="A217" s="187"/>
      <c r="B217" s="2266"/>
      <c r="C217" s="2266"/>
      <c r="D217" s="2266"/>
      <c r="E217" s="2266"/>
      <c r="F217" s="2266"/>
      <c r="G217" s="2267"/>
      <c r="H217" s="268" t="s">
        <v>89</v>
      </c>
      <c r="I217" s="216" t="s">
        <v>873</v>
      </c>
      <c r="J217" s="122">
        <f>J200</f>
        <v>0.42</v>
      </c>
      <c r="K217" s="121">
        <f>K200</f>
        <v>0.42</v>
      </c>
      <c r="L217" s="1627">
        <f>L200</f>
        <v>0.0954</v>
      </c>
      <c r="M217" s="291">
        <f>J217+L217</f>
        <v>0.5154</v>
      </c>
      <c r="N217" s="1636">
        <f>K217+L217</f>
        <v>0.5154</v>
      </c>
      <c r="O217" s="522"/>
      <c r="P217" s="123"/>
    </row>
    <row r="218" spans="1:16" ht="14.25" customHeight="1">
      <c r="A218" s="187"/>
      <c r="B218" s="2266"/>
      <c r="C218" s="2266"/>
      <c r="D218" s="2266"/>
      <c r="E218" s="2266"/>
      <c r="F218" s="2266"/>
      <c r="G218" s="2267"/>
      <c r="H218" s="268"/>
      <c r="I218" s="216"/>
      <c r="J218" s="122"/>
      <c r="K218" s="122"/>
      <c r="L218" s="1627"/>
      <c r="M218" s="291"/>
      <c r="N218" s="1636"/>
      <c r="O218" s="522"/>
      <c r="P218" s="123"/>
    </row>
    <row r="219" spans="1:16" ht="14.25" customHeight="1">
      <c r="A219" s="187">
        <v>3</v>
      </c>
      <c r="B219" s="207" t="s">
        <v>956</v>
      </c>
      <c r="G219" s="219"/>
      <c r="H219" s="121"/>
      <c r="I219" s="225" t="s">
        <v>945</v>
      </c>
      <c r="J219" s="122">
        <f aca="true" t="shared" si="30" ref="J219:L220">J202</f>
        <v>0.42</v>
      </c>
      <c r="K219" s="121">
        <f t="shared" si="30"/>
        <v>0.26</v>
      </c>
      <c r="L219" s="1627">
        <f t="shared" si="30"/>
        <v>0.059199999999999996</v>
      </c>
      <c r="M219" s="291">
        <f aca="true" t="shared" si="31" ref="M219:M224">J219+L219</f>
        <v>0.47919999999999996</v>
      </c>
      <c r="N219" s="1636">
        <f aca="true" t="shared" si="32" ref="N219:N224">K219+L219</f>
        <v>0.3192</v>
      </c>
      <c r="O219" s="522"/>
      <c r="P219" s="123"/>
    </row>
    <row r="220" spans="1:16" ht="14.25" customHeight="1">
      <c r="A220" s="187">
        <v>4</v>
      </c>
      <c r="B220" s="207" t="s">
        <v>957</v>
      </c>
      <c r="G220" s="219"/>
      <c r="H220" s="121"/>
      <c r="I220" s="225" t="s">
        <v>945</v>
      </c>
      <c r="J220" s="122">
        <f t="shared" si="30"/>
        <v>0.98</v>
      </c>
      <c r="K220" s="121">
        <f t="shared" si="30"/>
        <v>0.72</v>
      </c>
      <c r="L220" s="1627">
        <f t="shared" si="30"/>
        <v>0.40800000000000003</v>
      </c>
      <c r="M220" s="291">
        <f t="shared" si="31"/>
        <v>1.388</v>
      </c>
      <c r="N220" s="1636">
        <f t="shared" si="32"/>
        <v>1.1280000000000001</v>
      </c>
      <c r="O220" s="522"/>
      <c r="P220" s="123"/>
    </row>
    <row r="221" spans="1:16" ht="14.25" customHeight="1">
      <c r="A221" s="187">
        <v>5</v>
      </c>
      <c r="B221" s="207" t="s">
        <v>958</v>
      </c>
      <c r="G221" s="219"/>
      <c r="H221" s="121"/>
      <c r="I221" s="225" t="s">
        <v>945</v>
      </c>
      <c r="J221" s="122">
        <f aca="true" t="shared" si="33" ref="J221:L222">J48</f>
        <v>1.45</v>
      </c>
      <c r="K221" s="121">
        <f t="shared" si="33"/>
        <v>1.45</v>
      </c>
      <c r="L221" s="1627">
        <f t="shared" si="33"/>
        <v>0.22236999999999998</v>
      </c>
      <c r="M221" s="291">
        <f t="shared" si="31"/>
        <v>1.67237</v>
      </c>
      <c r="N221" s="1636">
        <f t="shared" si="32"/>
        <v>1.67237</v>
      </c>
      <c r="O221" s="522"/>
      <c r="P221" s="123"/>
    </row>
    <row r="222" spans="1:16" ht="14.25" customHeight="1">
      <c r="A222" s="187">
        <v>6</v>
      </c>
      <c r="B222" s="207" t="s">
        <v>0</v>
      </c>
      <c r="G222" s="219"/>
      <c r="H222" s="121"/>
      <c r="I222" s="225" t="s">
        <v>945</v>
      </c>
      <c r="J222" s="122">
        <f t="shared" si="33"/>
        <v>1.86</v>
      </c>
      <c r="K222" s="121">
        <f t="shared" si="33"/>
        <v>1.14</v>
      </c>
      <c r="L222" s="1627">
        <f>L49</f>
        <v>0.12465999999999999</v>
      </c>
      <c r="M222" s="291">
        <f t="shared" si="31"/>
        <v>1.98466</v>
      </c>
      <c r="N222" s="1636">
        <f t="shared" si="32"/>
        <v>1.26466</v>
      </c>
      <c r="O222" s="522"/>
      <c r="P222" s="123"/>
    </row>
    <row r="223" spans="1:16" ht="14.25" customHeight="1">
      <c r="A223" s="187">
        <v>7</v>
      </c>
      <c r="B223" s="207" t="s">
        <v>1</v>
      </c>
      <c r="G223" s="219"/>
      <c r="H223" s="121"/>
      <c r="I223" s="225" t="s">
        <v>945</v>
      </c>
      <c r="J223" s="122">
        <f>J204</f>
        <v>0.2</v>
      </c>
      <c r="K223" s="121">
        <f>K204</f>
        <v>0.2</v>
      </c>
      <c r="L223" s="1627">
        <f>L50</f>
        <v>0</v>
      </c>
      <c r="M223" s="291">
        <f t="shared" si="31"/>
        <v>0.2</v>
      </c>
      <c r="N223" s="1636">
        <f t="shared" si="32"/>
        <v>0.2</v>
      </c>
      <c r="O223" s="522"/>
      <c r="P223" s="123"/>
    </row>
    <row r="224" spans="1:16" ht="14.25" customHeight="1">
      <c r="A224" s="187">
        <v>8</v>
      </c>
      <c r="B224" s="2266" t="s">
        <v>2</v>
      </c>
      <c r="C224" s="2266"/>
      <c r="D224" s="2266"/>
      <c r="E224" s="2266"/>
      <c r="F224" s="2266"/>
      <c r="G224" s="2267"/>
      <c r="H224" s="286"/>
      <c r="I224" s="225" t="s">
        <v>945</v>
      </c>
      <c r="J224" s="122">
        <f>J205</f>
        <v>0.67</v>
      </c>
      <c r="K224" s="121">
        <f>K205</f>
        <v>0.52</v>
      </c>
      <c r="L224" s="1627">
        <f>L205</f>
        <v>0.388</v>
      </c>
      <c r="M224" s="291">
        <f t="shared" si="31"/>
        <v>1.058</v>
      </c>
      <c r="N224" s="1636">
        <f t="shared" si="32"/>
        <v>0.908</v>
      </c>
      <c r="O224" s="522"/>
      <c r="P224" s="123"/>
    </row>
    <row r="225" spans="1:16" ht="14.25" customHeight="1">
      <c r="A225" s="187"/>
      <c r="B225" s="2266"/>
      <c r="C225" s="2266"/>
      <c r="D225" s="2266"/>
      <c r="E225" s="2266"/>
      <c r="F225" s="2266"/>
      <c r="G225" s="2267"/>
      <c r="H225" s="286"/>
      <c r="I225" s="225"/>
      <c r="J225" s="122"/>
      <c r="K225" s="122"/>
      <c r="L225" s="1627"/>
      <c r="M225" s="291"/>
      <c r="N225" s="1636"/>
      <c r="O225" s="522"/>
      <c r="P225" s="123"/>
    </row>
    <row r="226" spans="1:16" ht="14.25" customHeight="1">
      <c r="A226" s="187">
        <v>9</v>
      </c>
      <c r="B226" s="2266" t="s">
        <v>3</v>
      </c>
      <c r="C226" s="2266"/>
      <c r="D226" s="2266"/>
      <c r="E226" s="2266"/>
      <c r="F226" s="2266"/>
      <c r="G226" s="2267"/>
      <c r="H226" s="286"/>
      <c r="I226" s="226"/>
      <c r="J226" s="122"/>
      <c r="K226" s="122"/>
      <c r="L226" s="1627"/>
      <c r="M226" s="291"/>
      <c r="N226" s="1582"/>
      <c r="O226" s="522"/>
      <c r="P226" s="123"/>
    </row>
    <row r="227" spans="1:16" ht="14.25" customHeight="1">
      <c r="A227" s="187"/>
      <c r="B227" s="2266"/>
      <c r="C227" s="2266"/>
      <c r="D227" s="2266"/>
      <c r="E227" s="2266"/>
      <c r="F227" s="2266"/>
      <c r="G227" s="2267"/>
      <c r="H227" s="286"/>
      <c r="I227" s="225" t="s">
        <v>945</v>
      </c>
      <c r="J227" s="122">
        <f>J208</f>
        <v>1.3</v>
      </c>
      <c r="K227" s="121">
        <f>K208</f>
        <v>0.72</v>
      </c>
      <c r="L227" s="1627">
        <f>L208</f>
        <v>0.11055999999999999</v>
      </c>
      <c r="M227" s="291">
        <f>J227+L227</f>
        <v>1.41056</v>
      </c>
      <c r="N227" s="1636">
        <f>K227+L227</f>
        <v>0.83056</v>
      </c>
      <c r="O227" s="522"/>
      <c r="P227" s="123"/>
    </row>
    <row r="228" spans="1:16" ht="15">
      <c r="A228" s="221"/>
      <c r="B228" s="2266"/>
      <c r="C228" s="2266"/>
      <c r="D228" s="2266"/>
      <c r="E228" s="2266"/>
      <c r="F228" s="2266"/>
      <c r="G228" s="2267"/>
      <c r="H228" s="292"/>
      <c r="I228" s="216"/>
      <c r="J228" s="122"/>
      <c r="K228" s="122"/>
      <c r="L228" s="1627"/>
      <c r="M228" s="229"/>
      <c r="N228" s="1582"/>
      <c r="O228" s="522"/>
      <c r="P228" s="123"/>
    </row>
    <row r="229" spans="1:16" ht="15">
      <c r="A229" s="233"/>
      <c r="B229" s="246"/>
      <c r="C229" s="246"/>
      <c r="D229" s="284" t="s">
        <v>919</v>
      </c>
      <c r="E229" s="283"/>
      <c r="F229" s="283"/>
      <c r="G229" s="287"/>
      <c r="H229" s="288"/>
      <c r="I229" s="120"/>
      <c r="J229" s="293">
        <f>SUM(J212:J227)</f>
        <v>7.7700000000000005</v>
      </c>
      <c r="K229" s="293">
        <f>SUM(K212:K227)</f>
        <v>5.8999999999999995</v>
      </c>
      <c r="L229" s="1641">
        <f>SUM(L212:L227)</f>
        <v>1.4081899999999998</v>
      </c>
      <c r="M229" s="248">
        <f>SUM(M212:M227)</f>
        <v>9.178189999999999</v>
      </c>
      <c r="N229" s="1642">
        <f>SUM(N212:N227)</f>
        <v>7.308190000000001</v>
      </c>
      <c r="O229" s="522"/>
      <c r="P229" s="123"/>
    </row>
    <row r="230" spans="1:16" ht="15">
      <c r="A230" s="214">
        <v>5</v>
      </c>
      <c r="B230" s="289" t="s">
        <v>91</v>
      </c>
      <c r="C230" s="197"/>
      <c r="D230" s="197"/>
      <c r="E230" s="197"/>
      <c r="F230" s="197"/>
      <c r="G230" s="198"/>
      <c r="H230" s="292"/>
      <c r="I230" s="216"/>
      <c r="J230" s="122"/>
      <c r="K230" s="122"/>
      <c r="L230" s="1627"/>
      <c r="M230" s="229"/>
      <c r="N230" s="1582"/>
      <c r="O230" s="522"/>
      <c r="P230" s="123"/>
    </row>
    <row r="231" spans="1:16" ht="14.25" customHeight="1">
      <c r="A231" s="187">
        <v>1</v>
      </c>
      <c r="B231" s="2266" t="s">
        <v>936</v>
      </c>
      <c r="C231" s="2266"/>
      <c r="D231" s="2266"/>
      <c r="E231" s="2266"/>
      <c r="F231" s="2266"/>
      <c r="G231" s="2267"/>
      <c r="H231" s="268"/>
      <c r="I231" s="216"/>
      <c r="J231" s="122"/>
      <c r="K231" s="122"/>
      <c r="L231" s="1627"/>
      <c r="M231" s="229"/>
      <c r="N231" s="1582"/>
      <c r="O231" s="522"/>
      <c r="P231" s="123"/>
    </row>
    <row r="232" spans="1:16" ht="14.25" customHeight="1">
      <c r="A232" s="187"/>
      <c r="B232" s="2266"/>
      <c r="C232" s="2266"/>
      <c r="D232" s="2266"/>
      <c r="E232" s="2266"/>
      <c r="F232" s="2266"/>
      <c r="G232" s="2267"/>
      <c r="H232" s="268">
        <v>1.2</v>
      </c>
      <c r="I232" s="216" t="s">
        <v>937</v>
      </c>
      <c r="J232" s="122">
        <f>J213</f>
        <v>0.47</v>
      </c>
      <c r="K232" s="121">
        <f>K213</f>
        <v>0.47</v>
      </c>
      <c r="L232" s="1627"/>
      <c r="M232" s="291">
        <f>J232+L232</f>
        <v>0.47</v>
      </c>
      <c r="N232" s="1636">
        <f>K232+L232</f>
        <v>0.47</v>
      </c>
      <c r="O232" s="522"/>
      <c r="P232" s="123"/>
    </row>
    <row r="233" spans="1:16" ht="14.25" customHeight="1">
      <c r="A233" s="187"/>
      <c r="B233" s="2266"/>
      <c r="C233" s="2266"/>
      <c r="D233" s="2266"/>
      <c r="E233" s="2266"/>
      <c r="F233" s="2266"/>
      <c r="G233" s="2267"/>
      <c r="H233" s="268"/>
      <c r="I233" s="216" t="s">
        <v>938</v>
      </c>
      <c r="J233" s="122"/>
      <c r="K233" s="121"/>
      <c r="L233" s="1627"/>
      <c r="M233" s="291"/>
      <c r="N233" s="1582"/>
      <c r="O233" s="522"/>
      <c r="P233" s="123"/>
    </row>
    <row r="234" spans="1:16" ht="14.25" customHeight="1">
      <c r="A234" s="187"/>
      <c r="B234" s="2266"/>
      <c r="C234" s="2266"/>
      <c r="D234" s="2266"/>
      <c r="E234" s="2266"/>
      <c r="F234" s="2266"/>
      <c r="G234" s="2267"/>
      <c r="H234" s="268"/>
      <c r="I234" s="216"/>
      <c r="J234" s="122"/>
      <c r="K234" s="121"/>
      <c r="L234" s="1627"/>
      <c r="M234" s="291"/>
      <c r="N234" s="1582"/>
      <c r="O234" s="522"/>
      <c r="P234" s="123"/>
    </row>
    <row r="235" spans="1:16" ht="14.25" customHeight="1">
      <c r="A235" s="187">
        <v>2</v>
      </c>
      <c r="B235" s="2266" t="s">
        <v>940</v>
      </c>
      <c r="C235" s="2266"/>
      <c r="D235" s="2266"/>
      <c r="E235" s="2266"/>
      <c r="F235" s="2266"/>
      <c r="G235" s="2267"/>
      <c r="H235" s="286"/>
      <c r="I235" s="216"/>
      <c r="J235" s="122"/>
      <c r="K235" s="121"/>
      <c r="L235" s="1627"/>
      <c r="M235" s="229"/>
      <c r="N235" s="1582"/>
      <c r="O235" s="522"/>
      <c r="P235" s="123"/>
    </row>
    <row r="236" spans="1:28" s="653" customFormat="1" ht="14.25" customHeight="1">
      <c r="A236" s="655"/>
      <c r="B236" s="2266"/>
      <c r="C236" s="2266"/>
      <c r="D236" s="2266"/>
      <c r="E236" s="2266"/>
      <c r="F236" s="2266"/>
      <c r="G236" s="2267"/>
      <c r="H236" s="656" t="s">
        <v>89</v>
      </c>
      <c r="I236" s="657" t="s">
        <v>873</v>
      </c>
      <c r="J236" s="658">
        <f>J26</f>
        <v>0.2</v>
      </c>
      <c r="K236" s="659">
        <f>K26</f>
        <v>0.2</v>
      </c>
      <c r="L236" s="1643">
        <f>'[1]лаб.'!$J$9/10000</f>
        <v>9.54E-06</v>
      </c>
      <c r="M236" s="652">
        <f>J236+L236</f>
        <v>0.20000954</v>
      </c>
      <c r="N236" s="681">
        <f>K236+L236</f>
        <v>0.20000954</v>
      </c>
      <c r="O236" s="645"/>
      <c r="P236" s="1578"/>
      <c r="R236" s="2565"/>
      <c r="S236" s="2565"/>
      <c r="T236" s="2565"/>
      <c r="U236" s="2565"/>
      <c r="V236" s="2565"/>
      <c r="W236" s="2565"/>
      <c r="X236" s="2565"/>
      <c r="Y236" s="2565"/>
      <c r="Z236" s="2565"/>
      <c r="AA236" s="2565"/>
      <c r="AB236" s="2565"/>
    </row>
    <row r="237" spans="1:16" ht="14.25" customHeight="1">
      <c r="A237" s="187"/>
      <c r="B237" s="2266"/>
      <c r="C237" s="2266"/>
      <c r="D237" s="2266"/>
      <c r="E237" s="2266"/>
      <c r="F237" s="2266"/>
      <c r="G237" s="2267"/>
      <c r="H237" s="268"/>
      <c r="I237" s="216"/>
      <c r="J237" s="122"/>
      <c r="K237" s="121"/>
      <c r="L237" s="1627"/>
      <c r="M237" s="229"/>
      <c r="N237" s="483"/>
      <c r="O237" s="522"/>
      <c r="P237" s="123"/>
    </row>
    <row r="238" spans="1:16" ht="14.25" customHeight="1">
      <c r="A238" s="187">
        <v>3</v>
      </c>
      <c r="B238" s="207" t="s">
        <v>956</v>
      </c>
      <c r="G238" s="219"/>
      <c r="H238" s="121"/>
      <c r="I238" s="225" t="s">
        <v>945</v>
      </c>
      <c r="J238" s="122">
        <f>J219</f>
        <v>0.42</v>
      </c>
      <c r="K238" s="121">
        <f>K219</f>
        <v>0.26</v>
      </c>
      <c r="L238" s="1627">
        <f>L219</f>
        <v>0.059199999999999996</v>
      </c>
      <c r="M238" s="229">
        <f>J238+L238</f>
        <v>0.47919999999999996</v>
      </c>
      <c r="N238" s="483">
        <f>K238+L238</f>
        <v>0.3192</v>
      </c>
      <c r="O238" s="522"/>
      <c r="P238" s="123"/>
    </row>
    <row r="239" spans="1:16" ht="14.25" customHeight="1">
      <c r="A239" s="187">
        <v>5</v>
      </c>
      <c r="B239" s="207" t="s">
        <v>1</v>
      </c>
      <c r="G239" s="219"/>
      <c r="H239" s="121"/>
      <c r="I239" s="225" t="s">
        <v>945</v>
      </c>
      <c r="J239" s="122">
        <f aca="true" t="shared" si="34" ref="J239:L240">J223</f>
        <v>0.2</v>
      </c>
      <c r="K239" s="121">
        <f t="shared" si="34"/>
        <v>0.2</v>
      </c>
      <c r="L239" s="1627">
        <f t="shared" si="34"/>
        <v>0</v>
      </c>
      <c r="M239" s="229">
        <f>J239+L239</f>
        <v>0.2</v>
      </c>
      <c r="N239" s="483">
        <f>K239+L239</f>
        <v>0.2</v>
      </c>
      <c r="O239" s="522"/>
      <c r="P239" s="123"/>
    </row>
    <row r="240" spans="1:16" ht="14.25" customHeight="1">
      <c r="A240" s="187">
        <v>6</v>
      </c>
      <c r="B240" s="2266" t="s">
        <v>2</v>
      </c>
      <c r="C240" s="2266"/>
      <c r="D240" s="2266"/>
      <c r="E240" s="2266"/>
      <c r="F240" s="2266"/>
      <c r="G240" s="2267"/>
      <c r="H240" s="286"/>
      <c r="I240" s="225" t="s">
        <v>945</v>
      </c>
      <c r="J240" s="122">
        <f t="shared" si="34"/>
        <v>0.67</v>
      </c>
      <c r="K240" s="121">
        <f t="shared" si="34"/>
        <v>0.52</v>
      </c>
      <c r="L240" s="1627">
        <f t="shared" si="34"/>
        <v>0.388</v>
      </c>
      <c r="M240" s="229">
        <f>J240+L240</f>
        <v>1.058</v>
      </c>
      <c r="N240" s="483">
        <f>K240+L240</f>
        <v>0.908</v>
      </c>
      <c r="O240" s="522"/>
      <c r="P240" s="123"/>
    </row>
    <row r="241" spans="1:16" ht="14.25" customHeight="1">
      <c r="A241" s="187"/>
      <c r="B241" s="2266"/>
      <c r="C241" s="2266"/>
      <c r="D241" s="2266"/>
      <c r="E241" s="2266"/>
      <c r="F241" s="2266"/>
      <c r="G241" s="2267"/>
      <c r="H241" s="286"/>
      <c r="I241" s="225"/>
      <c r="J241" s="122"/>
      <c r="K241" s="122"/>
      <c r="L241" s="1627"/>
      <c r="M241" s="229"/>
      <c r="N241" s="483"/>
      <c r="O241" s="522"/>
      <c r="P241" s="123"/>
    </row>
    <row r="242" spans="1:16" ht="14.25" customHeight="1">
      <c r="A242" s="124"/>
      <c r="B242" s="283"/>
      <c r="C242" s="283"/>
      <c r="D242" s="284" t="s">
        <v>919</v>
      </c>
      <c r="E242" s="283"/>
      <c r="F242" s="283"/>
      <c r="G242" s="287"/>
      <c r="H242" s="288"/>
      <c r="I242" s="120"/>
      <c r="J242" s="295">
        <f>SUM(J232:J241)</f>
        <v>1.96</v>
      </c>
      <c r="K242" s="295">
        <f>SUM(K232:K241)</f>
        <v>1.65</v>
      </c>
      <c r="L242" s="1641">
        <f>SUM(L232:L241)</f>
        <v>0.44720954</v>
      </c>
      <c r="M242" s="248">
        <f>SUM(M232:M241)</f>
        <v>2.40720954</v>
      </c>
      <c r="N242" s="718">
        <f>SUM(N232:N241)</f>
        <v>2.09720954</v>
      </c>
      <c r="O242" s="522"/>
      <c r="P242" s="123"/>
    </row>
    <row r="243" spans="1:16" ht="15">
      <c r="A243" s="214">
        <v>6</v>
      </c>
      <c r="B243" s="285" t="s">
        <v>92</v>
      </c>
      <c r="G243" s="219"/>
      <c r="H243" s="123"/>
      <c r="I243" s="122"/>
      <c r="J243" s="219"/>
      <c r="K243" s="219"/>
      <c r="L243" s="1637"/>
      <c r="M243" s="509"/>
      <c r="N243" s="1582"/>
      <c r="O243" s="522"/>
      <c r="P243" s="123"/>
    </row>
    <row r="244" spans="1:16" ht="14.25" customHeight="1">
      <c r="A244" s="187">
        <v>1</v>
      </c>
      <c r="B244" s="2266" t="s">
        <v>936</v>
      </c>
      <c r="C244" s="2266"/>
      <c r="D244" s="2266"/>
      <c r="E244" s="2266"/>
      <c r="F244" s="2266"/>
      <c r="G244" s="2267"/>
      <c r="H244" s="268"/>
      <c r="I244" s="216"/>
      <c r="J244" s="122"/>
      <c r="K244" s="122"/>
      <c r="L244" s="1627"/>
      <c r="M244" s="229"/>
      <c r="N244" s="1582"/>
      <c r="O244" s="522"/>
      <c r="P244" s="123"/>
    </row>
    <row r="245" spans="1:16" ht="14.25" customHeight="1">
      <c r="A245" s="187"/>
      <c r="B245" s="2266"/>
      <c r="C245" s="2266"/>
      <c r="D245" s="2266"/>
      <c r="E245" s="2266"/>
      <c r="F245" s="2266"/>
      <c r="G245" s="2267"/>
      <c r="H245" s="268">
        <v>1.2</v>
      </c>
      <c r="I245" s="216" t="s">
        <v>937</v>
      </c>
      <c r="J245" s="122">
        <f>J232</f>
        <v>0.47</v>
      </c>
      <c r="K245" s="121">
        <f>K232</f>
        <v>0.47</v>
      </c>
      <c r="L245" s="1627"/>
      <c r="M245" s="291">
        <f>J245+L245</f>
        <v>0.47</v>
      </c>
      <c r="N245" s="1636">
        <f>K245+L245</f>
        <v>0.47</v>
      </c>
      <c r="O245" s="522"/>
      <c r="P245" s="123"/>
    </row>
    <row r="246" spans="1:16" ht="14.25" customHeight="1">
      <c r="A246" s="187"/>
      <c r="B246" s="2266"/>
      <c r="C246" s="2266"/>
      <c r="D246" s="2266"/>
      <c r="E246" s="2266"/>
      <c r="F246" s="2266"/>
      <c r="G246" s="2267"/>
      <c r="H246" s="268"/>
      <c r="I246" s="216" t="s">
        <v>938</v>
      </c>
      <c r="J246" s="122"/>
      <c r="K246" s="121"/>
      <c r="L246" s="1627"/>
      <c r="M246" s="291"/>
      <c r="N246" s="1582"/>
      <c r="O246" s="522"/>
      <c r="P246" s="123"/>
    </row>
    <row r="247" spans="1:16" ht="14.25" customHeight="1">
      <c r="A247" s="187"/>
      <c r="B247" s="2266"/>
      <c r="C247" s="2266"/>
      <c r="D247" s="2266"/>
      <c r="E247" s="2266"/>
      <c r="F247" s="2266"/>
      <c r="G247" s="2267"/>
      <c r="H247" s="268"/>
      <c r="I247" s="216"/>
      <c r="J247" s="122"/>
      <c r="K247" s="121"/>
      <c r="L247" s="1627"/>
      <c r="M247" s="291"/>
      <c r="N247" s="1582"/>
      <c r="O247" s="522"/>
      <c r="P247" s="123"/>
    </row>
    <row r="248" spans="1:16" ht="14.25" customHeight="1">
      <c r="A248" s="221">
        <v>2</v>
      </c>
      <c r="B248" s="2266" t="s">
        <v>944</v>
      </c>
      <c r="C248" s="2266"/>
      <c r="D248" s="2266"/>
      <c r="E248" s="2266"/>
      <c r="F248" s="2266"/>
      <c r="G248" s="2267"/>
      <c r="H248" s="286"/>
      <c r="I248" s="223"/>
      <c r="J248" s="122"/>
      <c r="K248" s="121"/>
      <c r="L248" s="1627"/>
      <c r="M248" s="229"/>
      <c r="N248" s="1582"/>
      <c r="O248" s="522"/>
      <c r="P248" s="123"/>
    </row>
    <row r="249" spans="1:16" ht="15">
      <c r="A249" s="221"/>
      <c r="B249" s="2266"/>
      <c r="C249" s="2266"/>
      <c r="D249" s="2266"/>
      <c r="E249" s="2266"/>
      <c r="F249" s="2266"/>
      <c r="G249" s="2267"/>
      <c r="H249" s="286"/>
      <c r="I249" s="225" t="s">
        <v>945</v>
      </c>
      <c r="J249" s="122">
        <f aca="true" t="shared" si="35" ref="J249:K253">J35</f>
        <v>0.16</v>
      </c>
      <c r="K249" s="121">
        <f t="shared" si="35"/>
        <v>0.16</v>
      </c>
      <c r="L249" s="1627">
        <f>L35</f>
        <v>0.05601</v>
      </c>
      <c r="M249" s="229">
        <f aca="true" t="shared" si="36" ref="M249:M254">J249+L249</f>
        <v>0.21601</v>
      </c>
      <c r="N249" s="483">
        <f aca="true" t="shared" si="37" ref="N249:N254">K249+L249</f>
        <v>0.21601</v>
      </c>
      <c r="O249" s="522"/>
      <c r="P249" s="123"/>
    </row>
    <row r="250" spans="1:16" ht="15">
      <c r="A250" s="221">
        <v>3</v>
      </c>
      <c r="B250" s="207" t="s">
        <v>946</v>
      </c>
      <c r="C250" s="207"/>
      <c r="D250" s="207"/>
      <c r="E250" s="207"/>
      <c r="F250" s="207"/>
      <c r="G250" s="208"/>
      <c r="H250" s="211"/>
      <c r="I250" s="225" t="s">
        <v>945</v>
      </c>
      <c r="J250" s="122">
        <f t="shared" si="35"/>
        <v>0.26</v>
      </c>
      <c r="K250" s="121">
        <f t="shared" si="35"/>
        <v>0.06</v>
      </c>
      <c r="L250" s="1627">
        <f>L36</f>
        <v>0.056209999999999996</v>
      </c>
      <c r="M250" s="229">
        <f t="shared" si="36"/>
        <v>0.31621</v>
      </c>
      <c r="N250" s="483">
        <f t="shared" si="37"/>
        <v>0.11621</v>
      </c>
      <c r="O250" s="522"/>
      <c r="P250" s="123"/>
    </row>
    <row r="251" spans="1:16" ht="15">
      <c r="A251" s="221">
        <v>4</v>
      </c>
      <c r="B251" s="207" t="s">
        <v>947</v>
      </c>
      <c r="C251" s="207"/>
      <c r="D251" s="207"/>
      <c r="E251" s="207"/>
      <c r="F251" s="207"/>
      <c r="G251" s="208"/>
      <c r="H251" s="211"/>
      <c r="I251" s="225" t="s">
        <v>945</v>
      </c>
      <c r="J251" s="122">
        <f t="shared" si="35"/>
        <v>0.67</v>
      </c>
      <c r="K251" s="121">
        <f t="shared" si="35"/>
        <v>0.47</v>
      </c>
      <c r="L251" s="1627">
        <f>L37</f>
        <v>0.116095</v>
      </c>
      <c r="M251" s="229">
        <f t="shared" si="36"/>
        <v>0.786095</v>
      </c>
      <c r="N251" s="483">
        <f t="shared" si="37"/>
        <v>0.586095</v>
      </c>
      <c r="O251" s="522"/>
      <c r="P251" s="123"/>
    </row>
    <row r="252" spans="1:16" ht="15">
      <c r="A252" s="221">
        <v>5</v>
      </c>
      <c r="B252" s="207" t="s">
        <v>948</v>
      </c>
      <c r="C252" s="207"/>
      <c r="D252" s="207"/>
      <c r="E252" s="207"/>
      <c r="F252" s="207"/>
      <c r="G252" s="208"/>
      <c r="H252" s="211"/>
      <c r="I252" s="225" t="s">
        <v>945</v>
      </c>
      <c r="J252" s="122">
        <f t="shared" si="35"/>
        <v>0.26</v>
      </c>
      <c r="K252" s="121">
        <f t="shared" si="35"/>
        <v>0.06</v>
      </c>
      <c r="L252" s="1627">
        <f>L38</f>
        <v>0.045937</v>
      </c>
      <c r="M252" s="229">
        <f t="shared" si="36"/>
        <v>0.305937</v>
      </c>
      <c r="N252" s="483">
        <f t="shared" si="37"/>
        <v>0.105937</v>
      </c>
      <c r="O252" s="522"/>
      <c r="P252" s="123"/>
    </row>
    <row r="253" spans="1:16" ht="15">
      <c r="A253" s="221">
        <v>6</v>
      </c>
      <c r="B253" s="207" t="s">
        <v>949</v>
      </c>
      <c r="C253" s="207"/>
      <c r="D253" s="207"/>
      <c r="E253" s="207"/>
      <c r="F253" s="207"/>
      <c r="G253" s="208"/>
      <c r="H253" s="211"/>
      <c r="I253" s="225" t="s">
        <v>945</v>
      </c>
      <c r="J253" s="122">
        <f t="shared" si="35"/>
        <v>0.26</v>
      </c>
      <c r="K253" s="121">
        <f t="shared" si="35"/>
        <v>0.06</v>
      </c>
      <c r="L253" s="1627">
        <f>L39</f>
        <v>0.16358199999999998</v>
      </c>
      <c r="M253" s="229">
        <f t="shared" si="36"/>
        <v>0.423582</v>
      </c>
      <c r="N253" s="483">
        <f t="shared" si="37"/>
        <v>0.22358199999999998</v>
      </c>
      <c r="O253" s="522"/>
      <c r="P253" s="123"/>
    </row>
    <row r="254" spans="1:16" ht="15">
      <c r="A254" s="221">
        <v>7</v>
      </c>
      <c r="B254" s="207" t="s">
        <v>951</v>
      </c>
      <c r="C254" s="207"/>
      <c r="D254" s="207"/>
      <c r="E254" s="207"/>
      <c r="F254" s="207"/>
      <c r="G254" s="208"/>
      <c r="H254" s="211"/>
      <c r="I254" s="225" t="s">
        <v>945</v>
      </c>
      <c r="J254" s="122">
        <f>J41</f>
        <v>0.42</v>
      </c>
      <c r="K254" s="121">
        <f>K41</f>
        <v>0.26</v>
      </c>
      <c r="L254" s="1627">
        <f>L41</f>
        <v>0.0574</v>
      </c>
      <c r="M254" s="229">
        <f t="shared" si="36"/>
        <v>0.4774</v>
      </c>
      <c r="N254" s="483">
        <f t="shared" si="37"/>
        <v>0.3174</v>
      </c>
      <c r="O254" s="522"/>
      <c r="P254" s="123"/>
    </row>
    <row r="255" spans="1:16" ht="12.75">
      <c r="A255" s="187"/>
      <c r="G255" s="219"/>
      <c r="H255" s="123"/>
      <c r="I255" s="122"/>
      <c r="J255" s="219"/>
      <c r="K255" s="219"/>
      <c r="L255" s="1637"/>
      <c r="M255" s="509"/>
      <c r="N255" s="1582"/>
      <c r="O255" s="522"/>
      <c r="P255" s="123"/>
    </row>
    <row r="256" spans="1:16" ht="15">
      <c r="A256" s="124"/>
      <c r="B256" s="278"/>
      <c r="C256" s="278"/>
      <c r="D256" s="284" t="s">
        <v>919</v>
      </c>
      <c r="E256" s="246"/>
      <c r="F256" s="246"/>
      <c r="G256" s="247"/>
      <c r="H256" s="296"/>
      <c r="I256" s="120"/>
      <c r="J256" s="295">
        <f>SUM(J245:J254)</f>
        <v>2.5</v>
      </c>
      <c r="K256" s="295">
        <f>SUM(K245:K254)</f>
        <v>1.54</v>
      </c>
      <c r="L256" s="1641">
        <f>SUM(L245:L254)</f>
        <v>0.49523399999999995</v>
      </c>
      <c r="M256" s="248">
        <f>SUM(M245:M254)</f>
        <v>2.995234</v>
      </c>
      <c r="N256" s="718">
        <f>SUM(N245:N254)</f>
        <v>2.035234</v>
      </c>
      <c r="O256" s="522"/>
      <c r="P256" s="123"/>
    </row>
    <row r="257" spans="1:16" ht="15">
      <c r="A257" s="214">
        <v>7</v>
      </c>
      <c r="B257" s="289" t="s">
        <v>93</v>
      </c>
      <c r="G257" s="219"/>
      <c r="H257" s="123"/>
      <c r="I257" s="122"/>
      <c r="J257" s="219"/>
      <c r="K257" s="219"/>
      <c r="L257" s="1637"/>
      <c r="M257" s="509"/>
      <c r="N257" s="1582"/>
      <c r="O257" s="522"/>
      <c r="P257" s="123"/>
    </row>
    <row r="258" spans="1:16" ht="14.25" customHeight="1">
      <c r="A258" s="187">
        <v>1</v>
      </c>
      <c r="B258" s="2266" t="s">
        <v>936</v>
      </c>
      <c r="C258" s="2266"/>
      <c r="D258" s="2266"/>
      <c r="E258" s="2266"/>
      <c r="F258" s="2266"/>
      <c r="G258" s="2267"/>
      <c r="H258" s="268"/>
      <c r="I258" s="216"/>
      <c r="J258" s="122"/>
      <c r="K258" s="122"/>
      <c r="L258" s="1627"/>
      <c r="M258" s="229"/>
      <c r="N258" s="1582"/>
      <c r="O258" s="522"/>
      <c r="P258" s="123"/>
    </row>
    <row r="259" spans="1:16" ht="14.25" customHeight="1">
      <c r="A259" s="221"/>
      <c r="B259" s="2266"/>
      <c r="C259" s="2266"/>
      <c r="D259" s="2266"/>
      <c r="E259" s="2266"/>
      <c r="F259" s="2266"/>
      <c r="G259" s="2267"/>
      <c r="H259" s="268">
        <v>1.2</v>
      </c>
      <c r="I259" s="216" t="s">
        <v>937</v>
      </c>
      <c r="J259" s="122">
        <f>J245</f>
        <v>0.47</v>
      </c>
      <c r="K259" s="121">
        <f>K245</f>
        <v>0.47</v>
      </c>
      <c r="L259" s="1627"/>
      <c r="M259" s="297">
        <f>J259+L259</f>
        <v>0.47</v>
      </c>
      <c r="N259" s="1644">
        <f>K259+L259</f>
        <v>0.47</v>
      </c>
      <c r="O259" s="522"/>
      <c r="P259" s="123"/>
    </row>
    <row r="260" spans="1:16" ht="14.25" customHeight="1">
      <c r="A260" s="221"/>
      <c r="B260" s="2266"/>
      <c r="C260" s="2266"/>
      <c r="D260" s="2266"/>
      <c r="E260" s="2266"/>
      <c r="F260" s="2266"/>
      <c r="G260" s="2267"/>
      <c r="H260" s="268"/>
      <c r="I260" s="216" t="s">
        <v>938</v>
      </c>
      <c r="J260" s="122"/>
      <c r="K260" s="122"/>
      <c r="L260" s="1627"/>
      <c r="M260" s="297"/>
      <c r="N260" s="1582"/>
      <c r="O260" s="522"/>
      <c r="P260" s="123"/>
    </row>
    <row r="261" spans="1:16" ht="14.25" customHeight="1">
      <c r="A261" s="221"/>
      <c r="B261" s="2266"/>
      <c r="C261" s="2266"/>
      <c r="D261" s="2266"/>
      <c r="E261" s="2266"/>
      <c r="F261" s="2266"/>
      <c r="G261" s="2267"/>
      <c r="H261" s="268"/>
      <c r="I261" s="216"/>
      <c r="J261" s="122"/>
      <c r="K261" s="122"/>
      <c r="L261" s="1627"/>
      <c r="M261" s="297"/>
      <c r="N261" s="1582"/>
      <c r="O261" s="522"/>
      <c r="P261" s="123"/>
    </row>
    <row r="262" spans="1:16" ht="14.25" customHeight="1">
      <c r="A262" s="221">
        <v>2</v>
      </c>
      <c r="B262" s="207" t="s">
        <v>875</v>
      </c>
      <c r="C262" s="207"/>
      <c r="D262" s="207"/>
      <c r="E262" s="207"/>
      <c r="F262" s="207"/>
      <c r="G262" s="208"/>
      <c r="H262" s="221">
        <v>1.4</v>
      </c>
      <c r="I262" s="216" t="s">
        <v>873</v>
      </c>
      <c r="J262" s="122">
        <f>J30</f>
        <v>0.52</v>
      </c>
      <c r="K262" s="121">
        <f>K30</f>
        <v>0.52</v>
      </c>
      <c r="L262" s="1627">
        <f>L30</f>
        <v>0.5331999999999999</v>
      </c>
      <c r="M262" s="297">
        <f>J262+L262</f>
        <v>1.0532</v>
      </c>
      <c r="N262" s="1644">
        <f>K262+L262</f>
        <v>1.0532</v>
      </c>
      <c r="O262" s="522"/>
      <c r="P262" s="123"/>
    </row>
    <row r="263" spans="1:16" ht="14.25" customHeight="1">
      <c r="A263" s="221">
        <v>3</v>
      </c>
      <c r="B263" s="2266" t="s">
        <v>941</v>
      </c>
      <c r="C263" s="2266"/>
      <c r="D263" s="2266"/>
      <c r="E263" s="2266"/>
      <c r="F263" s="2266"/>
      <c r="G263" s="2267"/>
      <c r="H263" s="221">
        <v>1.5</v>
      </c>
      <c r="I263" s="216" t="s">
        <v>873</v>
      </c>
      <c r="J263" s="122">
        <f>J31</f>
        <v>0.31</v>
      </c>
      <c r="K263" s="121">
        <f>K31</f>
        <v>0.31</v>
      </c>
      <c r="L263" s="1627">
        <f>L163</f>
        <v>0.0826</v>
      </c>
      <c r="M263" s="297">
        <f>J263+L263</f>
        <v>0.3926</v>
      </c>
      <c r="N263" s="1644">
        <f>K263+L263</f>
        <v>0.3926</v>
      </c>
      <c r="O263" s="522"/>
      <c r="P263" s="123"/>
    </row>
    <row r="264" spans="1:16" ht="14.25" customHeight="1">
      <c r="A264" s="221"/>
      <c r="B264" s="2266"/>
      <c r="C264" s="2266"/>
      <c r="D264" s="2266"/>
      <c r="E264" s="2266"/>
      <c r="F264" s="2266"/>
      <c r="G264" s="2267"/>
      <c r="H264" s="221"/>
      <c r="I264" s="216"/>
      <c r="J264" s="122"/>
      <c r="K264" s="122"/>
      <c r="L264" s="1627"/>
      <c r="M264" s="297"/>
      <c r="N264" s="1644"/>
      <c r="O264" s="522"/>
      <c r="P264" s="123"/>
    </row>
    <row r="265" spans="1:16" ht="14.25" customHeight="1">
      <c r="A265" s="187">
        <v>4</v>
      </c>
      <c r="B265" s="2266" t="s">
        <v>15</v>
      </c>
      <c r="C265" s="2266"/>
      <c r="D265" s="2266"/>
      <c r="E265" s="2266"/>
      <c r="F265" s="2266"/>
      <c r="G265" s="2267"/>
      <c r="H265" s="268" t="s">
        <v>94</v>
      </c>
      <c r="I265" s="225" t="s">
        <v>945</v>
      </c>
      <c r="J265" s="119">
        <f>J67</f>
        <v>0.58</v>
      </c>
      <c r="K265" s="121">
        <f>K67</f>
        <v>0.2</v>
      </c>
      <c r="L265" s="1627">
        <f>L67</f>
        <v>0.29</v>
      </c>
      <c r="M265" s="297">
        <f>J265+L265</f>
        <v>0.8699999999999999</v>
      </c>
      <c r="N265" s="1644">
        <f>K265+L265</f>
        <v>0.49</v>
      </c>
      <c r="O265" s="522"/>
      <c r="P265" s="123"/>
    </row>
    <row r="266" spans="1:16" ht="14.25" customHeight="1">
      <c r="A266" s="187"/>
      <c r="B266" s="2266"/>
      <c r="C266" s="2266"/>
      <c r="D266" s="2266"/>
      <c r="E266" s="2266"/>
      <c r="F266" s="2266"/>
      <c r="G266" s="2267"/>
      <c r="H266" s="286"/>
      <c r="I266" s="122"/>
      <c r="J266" s="219"/>
      <c r="K266" s="219"/>
      <c r="L266" s="1637"/>
      <c r="M266" s="509"/>
      <c r="N266" s="1582"/>
      <c r="O266" s="522"/>
      <c r="P266" s="123"/>
    </row>
    <row r="267" spans="1:16" ht="15">
      <c r="A267" s="124"/>
      <c r="B267" s="278"/>
      <c r="C267" s="278"/>
      <c r="D267" s="284" t="s">
        <v>919</v>
      </c>
      <c r="E267" s="246"/>
      <c r="F267" s="246"/>
      <c r="G267" s="247"/>
      <c r="H267" s="296"/>
      <c r="I267" s="120"/>
      <c r="J267" s="295">
        <f>SUM(J257:J266)</f>
        <v>1.88</v>
      </c>
      <c r="K267" s="295">
        <f>SUM(K257:K266)</f>
        <v>1.5</v>
      </c>
      <c r="L267" s="1641">
        <f>SUM(L257:L266)</f>
        <v>0.9057999999999999</v>
      </c>
      <c r="M267" s="248">
        <f>SUM(M257:M266)</f>
        <v>2.7858</v>
      </c>
      <c r="N267" s="718">
        <f>SUM(N257:N266)</f>
        <v>2.4058</v>
      </c>
      <c r="O267" s="522"/>
      <c r="P267" s="123"/>
    </row>
    <row r="268" spans="1:16" ht="14.25" customHeight="1">
      <c r="A268" s="214">
        <v>8</v>
      </c>
      <c r="B268" s="2355" t="s">
        <v>95</v>
      </c>
      <c r="C268" s="2355"/>
      <c r="D268" s="2355"/>
      <c r="E268" s="2355"/>
      <c r="F268" s="2355"/>
      <c r="G268" s="2355"/>
      <c r="H268" s="123"/>
      <c r="J268" s="123"/>
      <c r="K268" s="149"/>
      <c r="L268" s="1318"/>
      <c r="M268" s="1645"/>
      <c r="N268" s="1582"/>
      <c r="O268" s="522"/>
      <c r="P268" s="123"/>
    </row>
    <row r="269" spans="1:16" ht="14.25" customHeight="1">
      <c r="A269" s="187"/>
      <c r="B269" s="2355"/>
      <c r="C269" s="2355"/>
      <c r="D269" s="2355"/>
      <c r="E269" s="2355"/>
      <c r="F269" s="2355"/>
      <c r="G269" s="2355"/>
      <c r="H269" s="123"/>
      <c r="J269" s="123"/>
      <c r="K269" s="149"/>
      <c r="L269" s="1318"/>
      <c r="M269" s="1645"/>
      <c r="N269" s="1582"/>
      <c r="O269" s="522"/>
      <c r="P269" s="123"/>
    </row>
    <row r="270" spans="1:16" ht="14.25" customHeight="1">
      <c r="A270" s="187"/>
      <c r="B270" s="2355"/>
      <c r="C270" s="2355"/>
      <c r="D270" s="2355"/>
      <c r="E270" s="2355"/>
      <c r="F270" s="2355"/>
      <c r="G270" s="2355"/>
      <c r="H270" s="123"/>
      <c r="J270" s="123"/>
      <c r="K270" s="149"/>
      <c r="L270" s="1318"/>
      <c r="M270" s="1645"/>
      <c r="N270" s="1582"/>
      <c r="O270" s="522"/>
      <c r="P270" s="123"/>
    </row>
    <row r="271" spans="1:16" ht="14.25" customHeight="1">
      <c r="A271" s="187">
        <v>1</v>
      </c>
      <c r="B271" s="2266" t="s">
        <v>936</v>
      </c>
      <c r="C271" s="2266"/>
      <c r="D271" s="2266"/>
      <c r="E271" s="2266"/>
      <c r="F271" s="2266"/>
      <c r="G271" s="2266"/>
      <c r="H271" s="268"/>
      <c r="I271" s="216"/>
      <c r="J271" s="121"/>
      <c r="K271" s="122"/>
      <c r="L271" s="1626"/>
      <c r="M271" s="213"/>
      <c r="N271" s="1582"/>
      <c r="O271" s="522"/>
      <c r="P271" s="123"/>
    </row>
    <row r="272" spans="1:16" ht="14.25" customHeight="1">
      <c r="A272" s="221"/>
      <c r="B272" s="2266"/>
      <c r="C272" s="2266"/>
      <c r="D272" s="2266"/>
      <c r="E272" s="2266"/>
      <c r="F272" s="2266"/>
      <c r="G272" s="2266"/>
      <c r="H272" s="268">
        <v>1.2</v>
      </c>
      <c r="I272" s="216" t="s">
        <v>937</v>
      </c>
      <c r="J272" s="121">
        <f>J259</f>
        <v>0.47</v>
      </c>
      <c r="K272" s="121">
        <f>K259</f>
        <v>0.47</v>
      </c>
      <c r="L272" s="1626"/>
      <c r="M272" s="269">
        <f>J272+L272</f>
        <v>0.47</v>
      </c>
      <c r="N272" s="1636">
        <f>K272+L272</f>
        <v>0.47</v>
      </c>
      <c r="O272" s="522"/>
      <c r="P272" s="123"/>
    </row>
    <row r="273" spans="1:16" ht="14.25" customHeight="1">
      <c r="A273" s="221"/>
      <c r="B273" s="2266"/>
      <c r="C273" s="2266"/>
      <c r="D273" s="2266"/>
      <c r="E273" s="2266"/>
      <c r="F273" s="2266"/>
      <c r="G273" s="2266"/>
      <c r="H273" s="268"/>
      <c r="I273" s="216" t="s">
        <v>938</v>
      </c>
      <c r="J273" s="121"/>
      <c r="K273" s="122"/>
      <c r="L273" s="1626"/>
      <c r="M273" s="269"/>
      <c r="N273" s="1582"/>
      <c r="O273" s="522"/>
      <c r="P273" s="123"/>
    </row>
    <row r="274" spans="1:16" ht="14.25" customHeight="1">
      <c r="A274" s="221"/>
      <c r="B274" s="2266"/>
      <c r="C274" s="2266"/>
      <c r="D274" s="2266"/>
      <c r="E274" s="2266"/>
      <c r="F274" s="2266"/>
      <c r="G274" s="2266"/>
      <c r="H274" s="268"/>
      <c r="I274" s="216"/>
      <c r="J274" s="121"/>
      <c r="K274" s="122"/>
      <c r="L274" s="1626"/>
      <c r="M274" s="269"/>
      <c r="N274" s="1582"/>
      <c r="O274" s="522"/>
      <c r="P274" s="123"/>
    </row>
    <row r="275" spans="1:16" ht="14.25" customHeight="1">
      <c r="A275" s="221">
        <v>2</v>
      </c>
      <c r="B275" s="207" t="s">
        <v>875</v>
      </c>
      <c r="C275" s="207"/>
      <c r="D275" s="207"/>
      <c r="E275" s="207"/>
      <c r="F275" s="207"/>
      <c r="G275" s="207"/>
      <c r="H275" s="221">
        <v>1.4</v>
      </c>
      <c r="I275" s="216" t="s">
        <v>873</v>
      </c>
      <c r="J275" s="121">
        <f>J262</f>
        <v>0.52</v>
      </c>
      <c r="K275" s="121">
        <f>K262</f>
        <v>0.52</v>
      </c>
      <c r="L275" s="1626">
        <f>L262</f>
        <v>0.5331999999999999</v>
      </c>
      <c r="M275" s="269">
        <f>J275+L275</f>
        <v>1.0532</v>
      </c>
      <c r="N275" s="1636">
        <f>K275+L275</f>
        <v>1.0532</v>
      </c>
      <c r="O275" s="522"/>
      <c r="P275" s="123"/>
    </row>
    <row r="276" spans="1:16" ht="14.25" customHeight="1">
      <c r="A276" s="221">
        <v>3</v>
      </c>
      <c r="B276" s="2266" t="s">
        <v>941</v>
      </c>
      <c r="C276" s="2266"/>
      <c r="D276" s="2266"/>
      <c r="E276" s="2266"/>
      <c r="F276" s="2266"/>
      <c r="G276" s="2266"/>
      <c r="H276" s="221">
        <v>1.5</v>
      </c>
      <c r="I276" s="216" t="s">
        <v>873</v>
      </c>
      <c r="J276" s="121">
        <f>J263</f>
        <v>0.31</v>
      </c>
      <c r="K276" s="121">
        <f>K263</f>
        <v>0.31</v>
      </c>
      <c r="L276" s="1626">
        <f>L163</f>
        <v>0.0826</v>
      </c>
      <c r="M276" s="269">
        <f>J276+L276</f>
        <v>0.3926</v>
      </c>
      <c r="N276" s="1636">
        <f>K276+L276</f>
        <v>0.3926</v>
      </c>
      <c r="O276" s="522"/>
      <c r="P276" s="123"/>
    </row>
    <row r="277" spans="1:16" ht="14.25" customHeight="1">
      <c r="A277" s="221"/>
      <c r="B277" s="2266"/>
      <c r="C277" s="2266"/>
      <c r="D277" s="2266"/>
      <c r="E277" s="2266"/>
      <c r="F277" s="2266"/>
      <c r="G277" s="2266"/>
      <c r="H277" s="221"/>
      <c r="I277" s="216"/>
      <c r="J277" s="121"/>
      <c r="K277" s="122"/>
      <c r="L277" s="1626"/>
      <c r="M277" s="269"/>
      <c r="N277" s="1636"/>
      <c r="O277" s="522"/>
      <c r="P277" s="123"/>
    </row>
    <row r="278" spans="1:16" ht="14.25" customHeight="1">
      <c r="A278" s="221">
        <v>4.6</v>
      </c>
      <c r="B278" s="2266" t="s">
        <v>12</v>
      </c>
      <c r="C278" s="2266"/>
      <c r="D278" s="2266"/>
      <c r="E278" s="2266"/>
      <c r="F278" s="2266"/>
      <c r="G278" s="2266"/>
      <c r="H278" s="300"/>
      <c r="I278" s="225"/>
      <c r="J278" s="121"/>
      <c r="K278" s="122"/>
      <c r="L278" s="1626"/>
      <c r="M278" s="213"/>
      <c r="N278" s="483"/>
      <c r="O278" s="522"/>
      <c r="P278" s="123"/>
    </row>
    <row r="279" spans="1:16" ht="15">
      <c r="A279" s="221"/>
      <c r="B279" s="2266"/>
      <c r="C279" s="2266"/>
      <c r="D279" s="2266"/>
      <c r="E279" s="2266"/>
      <c r="F279" s="2266"/>
      <c r="G279" s="2266"/>
      <c r="H279" s="300"/>
      <c r="I279" s="225"/>
      <c r="J279" s="121"/>
      <c r="K279" s="122"/>
      <c r="L279" s="1626"/>
      <c r="M279" s="227"/>
      <c r="N279" s="717"/>
      <c r="O279" s="522"/>
      <c r="P279" s="123"/>
    </row>
    <row r="280" spans="1:16" ht="15">
      <c r="A280" s="221"/>
      <c r="B280" s="2266"/>
      <c r="C280" s="2266"/>
      <c r="D280" s="2266"/>
      <c r="E280" s="2266"/>
      <c r="F280" s="2266"/>
      <c r="G280" s="2266"/>
      <c r="H280" s="300"/>
      <c r="I280" s="225"/>
      <c r="J280" s="121"/>
      <c r="K280" s="122"/>
      <c r="L280" s="1626"/>
      <c r="M280" s="213"/>
      <c r="N280" s="483"/>
      <c r="O280" s="522"/>
      <c r="P280" s="123"/>
    </row>
    <row r="281" spans="1:16" ht="14.25" customHeight="1">
      <c r="A281" s="221"/>
      <c r="B281" s="197"/>
      <c r="C281" s="197"/>
      <c r="D281" s="197"/>
      <c r="E281" s="2367" t="s">
        <v>13</v>
      </c>
      <c r="F281" s="2367"/>
      <c r="G281" s="2367"/>
      <c r="H281" s="268" t="s">
        <v>96</v>
      </c>
      <c r="I281" s="225" t="s">
        <v>945</v>
      </c>
      <c r="J281" s="121">
        <f aca="true" t="shared" si="38" ref="J281:L282">J65</f>
        <v>0.88</v>
      </c>
      <c r="K281" s="121">
        <f t="shared" si="38"/>
        <v>0.42</v>
      </c>
      <c r="L281" s="1626">
        <f>L65</f>
        <v>2.6761999999999996E-05</v>
      </c>
      <c r="M281" s="227">
        <f>J281+L281</f>
        <v>0.880026762</v>
      </c>
      <c r="N281" s="717">
        <f>K281+L281</f>
        <v>0.420026762</v>
      </c>
      <c r="O281" s="522"/>
      <c r="P281" s="123"/>
    </row>
    <row r="282" spans="1:16" ht="14.25" customHeight="1" hidden="1">
      <c r="A282" s="221"/>
      <c r="B282" s="197"/>
      <c r="C282" s="197"/>
      <c r="D282" s="197"/>
      <c r="E282" s="2367" t="s">
        <v>14</v>
      </c>
      <c r="F282" s="2367"/>
      <c r="G282" s="2367"/>
      <c r="H282" s="268" t="s">
        <v>97</v>
      </c>
      <c r="I282" s="225" t="s">
        <v>945</v>
      </c>
      <c r="J282" s="121">
        <f t="shared" si="38"/>
        <v>0.225</v>
      </c>
      <c r="K282" s="121">
        <f t="shared" si="38"/>
        <v>0.105</v>
      </c>
      <c r="L282" s="1626">
        <f t="shared" si="38"/>
        <v>1.5368999999999998E-05</v>
      </c>
      <c r="M282" s="227">
        <f>J282+L282</f>
        <v>0.225015369</v>
      </c>
      <c r="N282" s="717">
        <f>K282+L282</f>
        <v>0.105015369</v>
      </c>
      <c r="O282" s="522"/>
      <c r="P282" s="123"/>
    </row>
    <row r="283" spans="1:16" ht="14.25">
      <c r="A283" s="187"/>
      <c r="D283" s="274" t="s">
        <v>919</v>
      </c>
      <c r="H283" s="301"/>
      <c r="J283" s="123"/>
      <c r="K283" s="149"/>
      <c r="L283" s="1318"/>
      <c r="M283" s="1645"/>
      <c r="N283" s="1582"/>
      <c r="O283" s="522"/>
      <c r="P283" s="123"/>
    </row>
    <row r="284" spans="1:16" ht="15">
      <c r="A284" s="124"/>
      <c r="B284" s="278"/>
      <c r="C284" s="278"/>
      <c r="D284" s="284"/>
      <c r="E284" s="2292" t="str">
        <f>E281</f>
        <v>альфа-холестерин</v>
      </c>
      <c r="F284" s="2292"/>
      <c r="G284" s="2292"/>
      <c r="H284" s="296"/>
      <c r="I284" s="120"/>
      <c r="J284" s="302">
        <f>SUM(J272:J281)</f>
        <v>2.18</v>
      </c>
      <c r="K284" s="303">
        <f>SUM(K272:K281)</f>
        <v>1.72</v>
      </c>
      <c r="L284" s="1646">
        <f>SUM(L272:L281)</f>
        <v>0.6158267619999999</v>
      </c>
      <c r="M284" s="719">
        <f>SUM(M272:M281)</f>
        <v>2.795826762</v>
      </c>
      <c r="N284" s="718">
        <f>SUM(N272:N281)</f>
        <v>2.335826762</v>
      </c>
      <c r="O284" s="523"/>
      <c r="P284" s="323"/>
    </row>
    <row r="285" spans="1:14" ht="15" hidden="1">
      <c r="A285" s="124"/>
      <c r="B285" s="278"/>
      <c r="C285" s="278"/>
      <c r="D285" s="284"/>
      <c r="E285" s="2292" t="str">
        <f>E282</f>
        <v>ЛНП-холестерин</v>
      </c>
      <c r="F285" s="2292"/>
      <c r="G285" s="2292"/>
      <c r="H285" s="296"/>
      <c r="I285" s="120"/>
      <c r="J285" s="302">
        <f>SUM(J272:J282)-J281</f>
        <v>1.5250000000000004</v>
      </c>
      <c r="K285" s="303">
        <f>SUM(K272:K282)-K281</f>
        <v>1.405</v>
      </c>
      <c r="L285" s="304">
        <f>SUM(L272:L282)-L281</f>
        <v>0.6158153689999999</v>
      </c>
      <c r="M285" s="280">
        <f>SUM(M272:M282)-M281</f>
        <v>2.140815369</v>
      </c>
      <c r="N285" s="281">
        <f>SUM(N272:N282)-N281</f>
        <v>2.020815369</v>
      </c>
    </row>
    <row r="287" spans="1:13" ht="15">
      <c r="A287" s="245"/>
      <c r="M287" s="245"/>
    </row>
    <row r="288" spans="1:13" ht="15">
      <c r="A288" s="245"/>
      <c r="M288" s="245"/>
    </row>
    <row r="289" spans="1:13" ht="15">
      <c r="A289" s="245"/>
      <c r="M289" s="245"/>
    </row>
    <row r="290" spans="1:13" ht="15">
      <c r="A290" s="245"/>
      <c r="M290" s="245"/>
    </row>
    <row r="291" spans="1:13" ht="15">
      <c r="A291" s="245"/>
      <c r="M291" s="245"/>
    </row>
    <row r="292" spans="1:13" ht="15">
      <c r="A292" s="245"/>
      <c r="M292" s="245"/>
    </row>
    <row r="293" spans="1:13" ht="15">
      <c r="A293" s="245"/>
      <c r="M293" s="245"/>
    </row>
    <row r="294" spans="1:13" ht="15">
      <c r="A294" s="245"/>
      <c r="M294" s="245"/>
    </row>
    <row r="295" spans="1:13" ht="15">
      <c r="A295" s="245"/>
      <c r="M295" s="245"/>
    </row>
    <row r="296" spans="1:13" ht="15">
      <c r="A296" s="245"/>
      <c r="M296" s="245"/>
    </row>
    <row r="297" spans="1:13" ht="15">
      <c r="A297" s="245"/>
      <c r="M297" s="245"/>
    </row>
    <row r="298" spans="1:13" ht="15">
      <c r="A298" s="245"/>
      <c r="M298" s="245"/>
    </row>
    <row r="299" spans="1:13" ht="15">
      <c r="A299" s="245"/>
      <c r="M299" s="245"/>
    </row>
    <row r="300" spans="1:13" ht="15">
      <c r="A300" s="245"/>
      <c r="M300" s="245"/>
    </row>
    <row r="301" spans="1:13" ht="15">
      <c r="A301" s="245"/>
      <c r="M301" s="245"/>
    </row>
    <row r="302" spans="1:13" ht="15">
      <c r="A302" s="245"/>
      <c r="M302" s="245"/>
    </row>
    <row r="303" spans="1:13" ht="15">
      <c r="A303" s="245"/>
      <c r="M303" s="245"/>
    </row>
    <row r="304" spans="1:13" ht="15">
      <c r="A304" s="245"/>
      <c r="M304" s="245"/>
    </row>
    <row r="305" spans="1:13" ht="15">
      <c r="A305" s="245"/>
      <c r="M305" s="245"/>
    </row>
    <row r="306" spans="1:13" ht="15">
      <c r="A306" s="245"/>
      <c r="M306" s="245"/>
    </row>
    <row r="307" spans="1:13" ht="15">
      <c r="A307" s="245"/>
      <c r="M307" s="245"/>
    </row>
    <row r="308" spans="1:13" ht="15">
      <c r="A308" s="245"/>
      <c r="M308" s="245"/>
    </row>
    <row r="309" spans="1:13" ht="15">
      <c r="A309" s="245"/>
      <c r="M309" s="245"/>
    </row>
    <row r="310" spans="1:13" ht="15">
      <c r="A310" s="245"/>
      <c r="M310" s="245"/>
    </row>
    <row r="311" spans="1:28" s="151" customFormat="1" ht="16.5">
      <c r="A311" s="245"/>
      <c r="B311" s="207"/>
      <c r="C311" s="207"/>
      <c r="D311" s="207"/>
      <c r="E311" s="207"/>
      <c r="F311" s="207"/>
      <c r="G311" s="207"/>
      <c r="H311" s="207"/>
      <c r="I311" s="275"/>
      <c r="L311" s="320"/>
      <c r="M311" s="957" t="s">
        <v>178</v>
      </c>
      <c r="N311" s="320"/>
      <c r="O311" s="310"/>
      <c r="P311" s="320"/>
      <c r="R311" s="2569"/>
      <c r="S311" s="2569"/>
      <c r="T311" s="2569"/>
      <c r="U311" s="2569"/>
      <c r="V311" s="2569"/>
      <c r="W311" s="2569"/>
      <c r="X311" s="2569"/>
      <c r="Y311" s="2569"/>
      <c r="Z311" s="2569"/>
      <c r="AA311" s="2569"/>
      <c r="AB311" s="2569"/>
    </row>
    <row r="312" spans="1:28" s="151" customFormat="1" ht="16.5">
      <c r="A312" s="245"/>
      <c r="B312" s="207"/>
      <c r="C312" s="207"/>
      <c r="D312" s="207"/>
      <c r="E312" s="207"/>
      <c r="F312" s="207"/>
      <c r="G312" s="207"/>
      <c r="H312" s="207"/>
      <c r="I312" s="275"/>
      <c r="L312" s="1600"/>
      <c r="M312" s="320"/>
      <c r="N312" s="1599" t="s">
        <v>437</v>
      </c>
      <c r="O312" s="320"/>
      <c r="P312" s="1601" t="str">
        <f>N2</f>
        <v>Главный врач Слонимской ЦРБ</v>
      </c>
      <c r="R312" s="2569"/>
      <c r="S312" s="2569"/>
      <c r="T312" s="2569"/>
      <c r="U312" s="2569"/>
      <c r="V312" s="2569"/>
      <c r="W312" s="2569"/>
      <c r="X312" s="2569"/>
      <c r="Y312" s="2569"/>
      <c r="Z312" s="2569"/>
      <c r="AA312" s="2569"/>
      <c r="AB312" s="2569"/>
    </row>
    <row r="313" spans="1:16" ht="16.5">
      <c r="A313" s="305"/>
      <c r="K313" s="151"/>
      <c r="L313" s="1600"/>
      <c r="M313" s="320"/>
      <c r="N313" s="958" t="s">
        <v>405</v>
      </c>
      <c r="O313" s="320"/>
      <c r="P313" s="1601" t="str">
        <f>N3</f>
        <v>Г.М. Моисеенкова</v>
      </c>
    </row>
    <row r="314" spans="1:16" ht="16.5">
      <c r="A314" s="305"/>
      <c r="K314" s="153"/>
      <c r="L314" s="1946">
        <f>'прейск-т'!M7</f>
        <v>1</v>
      </c>
      <c r="M314" s="321" t="str">
        <f>'прейск-т'!N7</f>
        <v>июля</v>
      </c>
      <c r="N314" s="321" t="str">
        <f>'прейск-т'!O7</f>
        <v>2017 г.</v>
      </c>
      <c r="O314" s="1603" t="str">
        <f>M4</f>
        <v>июля</v>
      </c>
      <c r="P314" s="1603" t="str">
        <f>N4</f>
        <v>2017 г.</v>
      </c>
    </row>
    <row r="315" spans="1:14" ht="12.75">
      <c r="A315" s="119"/>
      <c r="I315" s="306"/>
      <c r="K315" s="119"/>
      <c r="L315" s="307"/>
      <c r="M315" s="119"/>
      <c r="N315" s="119"/>
    </row>
    <row r="316" spans="1:16" ht="18.75" customHeight="1">
      <c r="A316" s="2347" t="s">
        <v>439</v>
      </c>
      <c r="B316" s="2347"/>
      <c r="C316" s="2347"/>
      <c r="D316" s="2347"/>
      <c r="E316" s="2347"/>
      <c r="F316" s="2347"/>
      <c r="G316" s="2347"/>
      <c r="H316" s="2347"/>
      <c r="I316" s="2347"/>
      <c r="J316" s="2347"/>
      <c r="K316" s="2347"/>
      <c r="L316" s="2347"/>
      <c r="M316" s="2347"/>
      <c r="N316" s="2347"/>
      <c r="O316" s="2347"/>
      <c r="P316" s="2347"/>
    </row>
    <row r="317" spans="1:16" ht="18.75" customHeight="1">
      <c r="A317" s="2347" t="s">
        <v>98</v>
      </c>
      <c r="B317" s="2347"/>
      <c r="C317" s="2347"/>
      <c r="D317" s="2347"/>
      <c r="E317" s="2347"/>
      <c r="F317" s="2347"/>
      <c r="G317" s="2347"/>
      <c r="H317" s="2347"/>
      <c r="I317" s="2347"/>
      <c r="J317" s="2347"/>
      <c r="K317" s="2347"/>
      <c r="L317" s="2347"/>
      <c r="M317" s="2347"/>
      <c r="N317" s="2347"/>
      <c r="O317" s="2347"/>
      <c r="P317" s="2347"/>
    </row>
    <row r="318" spans="1:16" ht="18.75" customHeight="1">
      <c r="A318" s="2347" t="s">
        <v>99</v>
      </c>
      <c r="B318" s="2347"/>
      <c r="C318" s="2347"/>
      <c r="D318" s="2347"/>
      <c r="E318" s="2347"/>
      <c r="F318" s="2347"/>
      <c r="G318" s="2347"/>
      <c r="H318" s="2347"/>
      <c r="I318" s="2347"/>
      <c r="J318" s="2347"/>
      <c r="K318" s="2347"/>
      <c r="L318" s="2347"/>
      <c r="M318" s="2347"/>
      <c r="N318" s="2347"/>
      <c r="O318" s="2347"/>
      <c r="P318" s="2347"/>
    </row>
    <row r="319" spans="7:9" ht="15.75">
      <c r="G319" s="168"/>
      <c r="I319" s="260"/>
    </row>
    <row r="320" spans="2:9" ht="15.75">
      <c r="B320" s="172" t="s">
        <v>100</v>
      </c>
      <c r="C320" s="173" t="str">
        <f>C12</f>
        <v>01.07.2017г.</v>
      </c>
      <c r="D320" s="308"/>
      <c r="G320" s="168"/>
      <c r="I320" s="260"/>
    </row>
    <row r="321" spans="1:28" s="177" customFormat="1" ht="12.75" customHeight="1">
      <c r="A321" s="2268" t="s">
        <v>259</v>
      </c>
      <c r="B321" s="180"/>
      <c r="C321" s="180"/>
      <c r="D321" s="180"/>
      <c r="E321" s="181"/>
      <c r="F321" s="180"/>
      <c r="G321" s="180"/>
      <c r="H321" s="182"/>
      <c r="I321" s="183"/>
      <c r="J321" s="2253" t="s">
        <v>447</v>
      </c>
      <c r="K321" s="2254"/>
      <c r="L321" s="185" t="s">
        <v>923</v>
      </c>
      <c r="M321" s="2303" t="s">
        <v>443</v>
      </c>
      <c r="N321" s="2304"/>
      <c r="O321" s="2304"/>
      <c r="P321" s="2305"/>
      <c r="R321" s="2562"/>
      <c r="S321" s="2562"/>
      <c r="T321" s="2563"/>
      <c r="U321" s="2563"/>
      <c r="V321" s="2562" t="s">
        <v>18</v>
      </c>
      <c r="W321" s="2562"/>
      <c r="X321" s="2562" t="s">
        <v>324</v>
      </c>
      <c r="Y321" s="2562"/>
      <c r="Z321" s="2562" t="s">
        <v>323</v>
      </c>
      <c r="AA321" s="2562"/>
      <c r="AB321" s="2563"/>
    </row>
    <row r="322" spans="1:28" s="177" customFormat="1" ht="15.75">
      <c r="A322" s="2269"/>
      <c r="B322" s="174"/>
      <c r="C322" s="174"/>
      <c r="D322" s="174"/>
      <c r="E322" s="174"/>
      <c r="F322" s="174"/>
      <c r="G322" s="174"/>
      <c r="H322" s="188"/>
      <c r="I322" s="189"/>
      <c r="J322" s="2242"/>
      <c r="K322" s="2243"/>
      <c r="L322" s="191" t="s">
        <v>924</v>
      </c>
      <c r="M322" s="2306" t="s">
        <v>233</v>
      </c>
      <c r="N322" s="2307"/>
      <c r="O322" s="2307"/>
      <c r="P322" s="2308"/>
      <c r="R322" s="2562"/>
      <c r="S322" s="2562"/>
      <c r="T322" s="2563"/>
      <c r="U322" s="2563"/>
      <c r="V322" s="2562"/>
      <c r="W322" s="2562"/>
      <c r="X322" s="2562"/>
      <c r="Y322" s="2562"/>
      <c r="Z322" s="2562"/>
      <c r="AA322" s="2562"/>
      <c r="AB322" s="2563"/>
    </row>
    <row r="323" spans="1:28" s="177" customFormat="1" ht="13.5" customHeight="1">
      <c r="A323" s="2269"/>
      <c r="B323" s="174"/>
      <c r="C323" s="174"/>
      <c r="D323" s="174"/>
      <c r="E323" s="148" t="s">
        <v>445</v>
      </c>
      <c r="F323" s="174"/>
      <c r="G323" s="174"/>
      <c r="H323" s="188"/>
      <c r="I323" s="189" t="s">
        <v>844</v>
      </c>
      <c r="J323" s="184" t="s">
        <v>926</v>
      </c>
      <c r="K323" s="179" t="s">
        <v>927</v>
      </c>
      <c r="L323" s="191" t="s">
        <v>448</v>
      </c>
      <c r="M323" s="2349"/>
      <c r="N323" s="2350"/>
      <c r="O323" s="2349" t="s">
        <v>510</v>
      </c>
      <c r="P323" s="2350"/>
      <c r="R323" s="2556"/>
      <c r="S323" s="2556"/>
      <c r="T323" s="2563"/>
      <c r="U323" s="2563"/>
      <c r="V323" s="2556" t="s">
        <v>926</v>
      </c>
      <c r="W323" s="2556" t="s">
        <v>927</v>
      </c>
      <c r="X323" s="2556" t="s">
        <v>926</v>
      </c>
      <c r="Y323" s="2556" t="s">
        <v>927</v>
      </c>
      <c r="Z323" s="2556" t="s">
        <v>926</v>
      </c>
      <c r="AA323" s="2556" t="s">
        <v>927</v>
      </c>
      <c r="AB323" s="2563"/>
    </row>
    <row r="324" spans="1:28" s="177" customFormat="1" ht="15.75">
      <c r="A324" s="2269"/>
      <c r="B324" s="148"/>
      <c r="C324" s="148"/>
      <c r="D324" s="148"/>
      <c r="E324" s="148"/>
      <c r="F324" s="174"/>
      <c r="G324" s="174"/>
      <c r="H324" s="189"/>
      <c r="I324" s="189" t="s">
        <v>928</v>
      </c>
      <c r="J324" s="194" t="s">
        <v>929</v>
      </c>
      <c r="K324" s="187" t="s">
        <v>930</v>
      </c>
      <c r="L324" s="191" t="s">
        <v>452</v>
      </c>
      <c r="M324" s="1564" t="s">
        <v>926</v>
      </c>
      <c r="N324" s="1561" t="s">
        <v>927</v>
      </c>
      <c r="O324" s="1560" t="s">
        <v>926</v>
      </c>
      <c r="P324" s="1564" t="s">
        <v>927</v>
      </c>
      <c r="R324" s="2556"/>
      <c r="S324" s="2556"/>
      <c r="T324" s="2564"/>
      <c r="U324" s="2563"/>
      <c r="V324" s="2556" t="s">
        <v>929</v>
      </c>
      <c r="W324" s="2556" t="s">
        <v>930</v>
      </c>
      <c r="X324" s="2556" t="s">
        <v>929</v>
      </c>
      <c r="Y324" s="2556" t="s">
        <v>930</v>
      </c>
      <c r="Z324" s="2556" t="s">
        <v>929</v>
      </c>
      <c r="AA324" s="2556" t="s">
        <v>930</v>
      </c>
      <c r="AB324" s="2563"/>
    </row>
    <row r="325" spans="1:28" s="201" customFormat="1" ht="15.75">
      <c r="A325" s="2269"/>
      <c r="B325" s="174"/>
      <c r="C325" s="174"/>
      <c r="D325" s="174"/>
      <c r="E325" s="174"/>
      <c r="F325" s="174"/>
      <c r="G325" s="148"/>
      <c r="H325" s="189"/>
      <c r="I325" s="189" t="s">
        <v>931</v>
      </c>
      <c r="J325" s="194"/>
      <c r="K325" s="187" t="s">
        <v>932</v>
      </c>
      <c r="L325" s="199"/>
      <c r="M325" s="1565" t="s">
        <v>929</v>
      </c>
      <c r="N325" s="169" t="s">
        <v>930</v>
      </c>
      <c r="O325" s="1566" t="s">
        <v>929</v>
      </c>
      <c r="P325" s="1565" t="s">
        <v>930</v>
      </c>
      <c r="R325" s="2556"/>
      <c r="S325" s="2556"/>
      <c r="T325" s="2564"/>
      <c r="U325" s="2576"/>
      <c r="V325" s="2556"/>
      <c r="W325" s="2556" t="s">
        <v>932</v>
      </c>
      <c r="X325" s="2556"/>
      <c r="Y325" s="2556" t="s">
        <v>932</v>
      </c>
      <c r="Z325" s="2556"/>
      <c r="AA325" s="2556" t="s">
        <v>932</v>
      </c>
      <c r="AB325" s="2576"/>
    </row>
    <row r="326" spans="1:28" s="201" customFormat="1" ht="15.75">
      <c r="A326" s="2269"/>
      <c r="B326" s="174"/>
      <c r="C326" s="174"/>
      <c r="D326" s="174"/>
      <c r="E326" s="174"/>
      <c r="F326" s="174"/>
      <c r="G326" s="148"/>
      <c r="H326" s="189"/>
      <c r="I326" s="189"/>
      <c r="J326" s="194"/>
      <c r="K326" s="187"/>
      <c r="L326" s="199"/>
      <c r="M326" s="1565"/>
      <c r="N326" s="169" t="s">
        <v>932</v>
      </c>
      <c r="O326" s="1566"/>
      <c r="P326" s="1565" t="s">
        <v>932</v>
      </c>
      <c r="R326" s="2556"/>
      <c r="S326" s="2556"/>
      <c r="T326" s="2564"/>
      <c r="U326" s="2576"/>
      <c r="V326" s="2556"/>
      <c r="W326" s="2556"/>
      <c r="X326" s="2556"/>
      <c r="Y326" s="2556"/>
      <c r="Z326" s="2556"/>
      <c r="AA326" s="2556"/>
      <c r="AB326" s="2576"/>
    </row>
    <row r="327" spans="1:28" s="201" customFormat="1" ht="15.75">
      <c r="A327" s="2270"/>
      <c r="B327" s="202"/>
      <c r="C327" s="202"/>
      <c r="D327" s="202"/>
      <c r="E327" s="202"/>
      <c r="F327" s="202"/>
      <c r="G327" s="202"/>
      <c r="H327" s="203"/>
      <c r="I327" s="125"/>
      <c r="J327" s="190" t="s">
        <v>933</v>
      </c>
      <c r="K327" s="124" t="s">
        <v>457</v>
      </c>
      <c r="L327" s="204" t="s">
        <v>457</v>
      </c>
      <c r="M327" s="1567" t="s">
        <v>457</v>
      </c>
      <c r="N327" s="1563" t="s">
        <v>457</v>
      </c>
      <c r="O327" s="1562" t="s">
        <v>457</v>
      </c>
      <c r="P327" s="1567" t="s">
        <v>457</v>
      </c>
      <c r="R327" s="2556"/>
      <c r="S327" s="2556"/>
      <c r="T327" s="2564"/>
      <c r="U327" s="2576"/>
      <c r="V327" s="2556" t="s">
        <v>933</v>
      </c>
      <c r="W327" s="2556" t="s">
        <v>457</v>
      </c>
      <c r="X327" s="2556" t="s">
        <v>933</v>
      </c>
      <c r="Y327" s="2556" t="s">
        <v>457</v>
      </c>
      <c r="Z327" s="2556" t="s">
        <v>933</v>
      </c>
      <c r="AA327" s="2556" t="s">
        <v>457</v>
      </c>
      <c r="AB327" s="2576"/>
    </row>
    <row r="328" spans="1:16" ht="15.75">
      <c r="A328" s="206"/>
      <c r="B328" s="88" t="s">
        <v>934</v>
      </c>
      <c r="C328" s="207"/>
      <c r="D328" s="207"/>
      <c r="E328" s="207"/>
      <c r="F328" s="207"/>
      <c r="G328" s="207"/>
      <c r="H328" s="208"/>
      <c r="I328" s="209"/>
      <c r="J328" s="210"/>
      <c r="K328" s="486"/>
      <c r="L328" s="1185"/>
      <c r="M328" s="535"/>
      <c r="N328" s="484"/>
      <c r="O328" s="1648"/>
      <c r="P328" s="1647"/>
    </row>
    <row r="329" spans="1:16" ht="12.75">
      <c r="A329" s="187"/>
      <c r="H329" s="219"/>
      <c r="I329" s="122"/>
      <c r="J329" s="149"/>
      <c r="K329" s="123"/>
      <c r="L329" s="271"/>
      <c r="M329" s="219"/>
      <c r="N329" s="219"/>
      <c r="O329" s="522"/>
      <c r="P329" s="123"/>
    </row>
    <row r="330" spans="1:16" ht="16.5">
      <c r="A330" s="309">
        <f>A156</f>
        <v>1</v>
      </c>
      <c r="B330" s="310" t="str">
        <f>B156</f>
        <v>Определение гормонов методом иммуноферментного</v>
      </c>
      <c r="C330" s="310"/>
      <c r="D330" s="310"/>
      <c r="E330" s="310"/>
      <c r="F330" s="310"/>
      <c r="G330" s="310"/>
      <c r="H330" s="311"/>
      <c r="I330" s="122"/>
      <c r="J330" s="149"/>
      <c r="K330" s="123"/>
      <c r="L330" s="271"/>
      <c r="M330" s="219"/>
      <c r="N330" s="219"/>
      <c r="O330" s="522"/>
      <c r="P330" s="123"/>
    </row>
    <row r="331" spans="1:16" ht="17.25">
      <c r="A331" s="309"/>
      <c r="B331" s="310" t="str">
        <f>B157</f>
        <v>анализа с полуавтоматизированным расчетом</v>
      </c>
      <c r="C331" s="310"/>
      <c r="D331" s="310"/>
      <c r="E331" s="310"/>
      <c r="F331" s="310"/>
      <c r="G331" s="310"/>
      <c r="H331" s="312" t="str">
        <f>G171</f>
        <v>ТТГ</v>
      </c>
      <c r="I331" s="225" t="s">
        <v>945</v>
      </c>
      <c r="J331" s="1935">
        <f aca="true" t="shared" si="39" ref="J331:L334">J171</f>
        <v>2.24</v>
      </c>
      <c r="K331" s="1936" t="str">
        <f t="shared" si="39"/>
        <v>-</v>
      </c>
      <c r="L331" s="1937">
        <f t="shared" si="39"/>
        <v>3.8877999999999995</v>
      </c>
      <c r="M331" s="1938">
        <f aca="true" t="shared" si="40" ref="M331:N334">M171</f>
        <v>6.1278</v>
      </c>
      <c r="N331" s="1939" t="str">
        <f t="shared" si="40"/>
        <v>-</v>
      </c>
      <c r="O331" s="1587">
        <f aca="true" t="shared" si="41" ref="O331:O336">M331/10000</f>
        <v>0.0006127799999999999</v>
      </c>
      <c r="P331" s="1664" t="s">
        <v>622</v>
      </c>
    </row>
    <row r="332" spans="1:16" ht="17.25">
      <c r="A332" s="187"/>
      <c r="B332" s="310"/>
      <c r="C332" s="310"/>
      <c r="D332" s="310"/>
      <c r="E332" s="310"/>
      <c r="F332" s="310"/>
      <c r="G332" s="310"/>
      <c r="H332" s="312" t="str">
        <f>G172</f>
        <v>Т4</v>
      </c>
      <c r="I332" s="225" t="s">
        <v>945</v>
      </c>
      <c r="J332" s="1935">
        <f t="shared" si="39"/>
        <v>2.24</v>
      </c>
      <c r="K332" s="1936" t="str">
        <f t="shared" si="39"/>
        <v>-</v>
      </c>
      <c r="L332" s="1937">
        <f t="shared" si="39"/>
        <v>4.0568</v>
      </c>
      <c r="M332" s="1938">
        <f t="shared" si="40"/>
        <v>6.2968</v>
      </c>
      <c r="N332" s="1939" t="str">
        <f t="shared" si="40"/>
        <v>-</v>
      </c>
      <c r="O332" s="1587">
        <f t="shared" si="41"/>
        <v>0.00062968</v>
      </c>
      <c r="P332" s="1664" t="s">
        <v>622</v>
      </c>
    </row>
    <row r="333" spans="1:16" ht="17.25">
      <c r="A333" s="187"/>
      <c r="B333" s="310"/>
      <c r="C333" s="310"/>
      <c r="D333" s="310"/>
      <c r="E333" s="310"/>
      <c r="F333" s="310"/>
      <c r="G333" s="310"/>
      <c r="H333" s="312" t="str">
        <f>G173</f>
        <v>Анти-ТПО</v>
      </c>
      <c r="I333" s="225" t="s">
        <v>945</v>
      </c>
      <c r="J333" s="1935">
        <f t="shared" si="39"/>
        <v>2.24</v>
      </c>
      <c r="K333" s="1936" t="str">
        <f t="shared" si="39"/>
        <v>-</v>
      </c>
      <c r="L333" s="1937">
        <f t="shared" si="39"/>
        <v>4.053</v>
      </c>
      <c r="M333" s="1938">
        <f t="shared" si="40"/>
        <v>6.293</v>
      </c>
      <c r="N333" s="1939" t="str">
        <f t="shared" si="40"/>
        <v>-</v>
      </c>
      <c r="O333" s="1587">
        <f t="shared" si="41"/>
        <v>0.0006293000000000001</v>
      </c>
      <c r="P333" s="1664" t="s">
        <v>622</v>
      </c>
    </row>
    <row r="334" spans="1:16" ht="17.25" hidden="1">
      <c r="A334" s="187"/>
      <c r="B334" s="310"/>
      <c r="C334" s="310"/>
      <c r="D334" s="310"/>
      <c r="E334" s="310"/>
      <c r="F334" s="310"/>
      <c r="G334" s="310"/>
      <c r="H334" s="312" t="str">
        <f>G174</f>
        <v>Сифилис</v>
      </c>
      <c r="I334" s="225" t="s">
        <v>945</v>
      </c>
      <c r="J334" s="1935">
        <f t="shared" si="39"/>
        <v>3.180000000000001</v>
      </c>
      <c r="K334" s="1936" t="str">
        <f t="shared" si="39"/>
        <v>-</v>
      </c>
      <c r="L334" s="1937">
        <f t="shared" si="39"/>
        <v>7.111999999999999</v>
      </c>
      <c r="M334" s="1938">
        <f t="shared" si="40"/>
        <v>10.292</v>
      </c>
      <c r="N334" s="1939" t="str">
        <f t="shared" si="40"/>
        <v>-</v>
      </c>
      <c r="O334" s="1587">
        <f t="shared" si="41"/>
        <v>0.0010292</v>
      </c>
      <c r="P334" s="1664"/>
    </row>
    <row r="335" spans="1:16" ht="17.25">
      <c r="A335" s="187"/>
      <c r="B335" s="310"/>
      <c r="C335" s="310"/>
      <c r="D335" s="310"/>
      <c r="E335" s="310"/>
      <c r="F335" s="310"/>
      <c r="G335" s="2301" t="s">
        <v>230</v>
      </c>
      <c r="H335" s="2348"/>
      <c r="I335" s="225" t="s">
        <v>945</v>
      </c>
      <c r="J335" s="1935">
        <f>J333</f>
        <v>2.24</v>
      </c>
      <c r="K335" s="1936" t="s">
        <v>622</v>
      </c>
      <c r="L335" s="1937">
        <f>L175</f>
        <v>3.7714</v>
      </c>
      <c r="M335" s="1938">
        <f>J335+L335</f>
        <v>6.0114</v>
      </c>
      <c r="N335" s="1939" t="s">
        <v>622</v>
      </c>
      <c r="O335" s="1587">
        <f t="shared" si="41"/>
        <v>0.00060114</v>
      </c>
      <c r="P335" s="1664" t="s">
        <v>622</v>
      </c>
    </row>
    <row r="336" spans="3:16" ht="16.5" customHeight="1" hidden="1">
      <c r="C336" s="1618"/>
      <c r="D336" s="1618"/>
      <c r="E336" s="1618"/>
      <c r="F336" s="1618"/>
      <c r="G336" s="2272" t="s">
        <v>339</v>
      </c>
      <c r="H336" s="2309"/>
      <c r="I336" s="225" t="s">
        <v>945</v>
      </c>
      <c r="J336" s="1935">
        <f>J176</f>
        <v>2.24</v>
      </c>
      <c r="K336" s="1936" t="s">
        <v>622</v>
      </c>
      <c r="L336" s="1937">
        <f>L176</f>
        <v>3.5787999999999993</v>
      </c>
      <c r="M336" s="2111">
        <f>J336+L336</f>
        <v>5.8187999999999995</v>
      </c>
      <c r="N336" s="1940"/>
      <c r="O336" s="522">
        <f t="shared" si="41"/>
        <v>0.00058188</v>
      </c>
      <c r="P336" s="1664"/>
    </row>
    <row r="337" spans="1:28" s="165" customFormat="1" ht="36.75" customHeight="1">
      <c r="A337" s="309">
        <v>2</v>
      </c>
      <c r="B337" s="2258" t="str">
        <f>B177</f>
        <v>Определение канцеромаркеров методом иммуноферментного анализа</v>
      </c>
      <c r="C337" s="2259"/>
      <c r="D337" s="2259"/>
      <c r="E337" s="2259"/>
      <c r="F337" s="2259"/>
      <c r="G337" s="2259"/>
      <c r="H337" s="2260"/>
      <c r="I337" s="313"/>
      <c r="J337" s="1935"/>
      <c r="K337" s="1936"/>
      <c r="L337" s="1937"/>
      <c r="M337" s="1940"/>
      <c r="N337" s="1940"/>
      <c r="O337" s="1649"/>
      <c r="P337" s="1664"/>
      <c r="R337" s="2575"/>
      <c r="S337" s="2575"/>
      <c r="T337" s="2575"/>
      <c r="U337" s="2575"/>
      <c r="V337" s="2575"/>
      <c r="W337" s="2575"/>
      <c r="X337" s="2575"/>
      <c r="Y337" s="2575"/>
      <c r="Z337" s="2575"/>
      <c r="AA337" s="2575"/>
      <c r="AB337" s="2575"/>
    </row>
    <row r="338" spans="1:28" s="165" customFormat="1" ht="18" customHeight="1">
      <c r="A338" s="309"/>
      <c r="B338" s="315"/>
      <c r="C338" s="316"/>
      <c r="D338" s="316"/>
      <c r="E338" s="316"/>
      <c r="F338" s="316"/>
      <c r="G338" s="2299" t="str">
        <f>F190</f>
        <v>мужчины</v>
      </c>
      <c r="H338" s="2300"/>
      <c r="I338" s="225" t="s">
        <v>945</v>
      </c>
      <c r="J338" s="1935">
        <f>J190</f>
        <v>3.3600000000000003</v>
      </c>
      <c r="K338" s="1936" t="s">
        <v>622</v>
      </c>
      <c r="L338" s="1937">
        <f aca="true" t="shared" si="42" ref="L338:M340">L190</f>
        <v>3.9588</v>
      </c>
      <c r="M338" s="1938">
        <f t="shared" si="42"/>
        <v>7.3188</v>
      </c>
      <c r="N338" s="1941" t="s">
        <v>622</v>
      </c>
      <c r="O338" s="1587">
        <f>M338/10000</f>
        <v>0.0007318800000000001</v>
      </c>
      <c r="P338" s="1664" t="s">
        <v>622</v>
      </c>
      <c r="R338" s="2575"/>
      <c r="S338" s="2575"/>
      <c r="T338" s="2575"/>
      <c r="U338" s="2575"/>
      <c r="V338" s="2575"/>
      <c r="W338" s="2575"/>
      <c r="X338" s="2575"/>
      <c r="Y338" s="2575"/>
      <c r="Z338" s="2575"/>
      <c r="AA338" s="2575"/>
      <c r="AB338" s="2575"/>
    </row>
    <row r="339" spans="1:16" ht="16.5" customHeight="1">
      <c r="A339" s="187"/>
      <c r="B339" s="310"/>
      <c r="C339" s="310"/>
      <c r="D339" s="310"/>
      <c r="E339" s="310"/>
      <c r="F339" s="2299" t="s">
        <v>123</v>
      </c>
      <c r="G339" s="2299"/>
      <c r="H339" s="2300"/>
      <c r="I339" s="225" t="s">
        <v>945</v>
      </c>
      <c r="J339" s="1935">
        <f>J190</f>
        <v>3.3600000000000003</v>
      </c>
      <c r="K339" s="1936" t="s">
        <v>622</v>
      </c>
      <c r="L339" s="1937">
        <f t="shared" si="42"/>
        <v>10.5024</v>
      </c>
      <c r="M339" s="1938">
        <f t="shared" si="42"/>
        <v>13.8624</v>
      </c>
      <c r="N339" s="1941" t="s">
        <v>622</v>
      </c>
      <c r="O339" s="1587">
        <f>M339/10000</f>
        <v>0.00138624</v>
      </c>
      <c r="P339" s="1664" t="s">
        <v>622</v>
      </c>
    </row>
    <row r="340" spans="1:16" ht="16.5" customHeight="1">
      <c r="A340" s="187"/>
      <c r="B340" s="310"/>
      <c r="C340" s="310"/>
      <c r="D340" s="310"/>
      <c r="E340" s="310"/>
      <c r="F340" s="310"/>
      <c r="G340" s="2299" t="str">
        <f>F192</f>
        <v>СА 19-9</v>
      </c>
      <c r="H340" s="2300"/>
      <c r="I340" s="225" t="s">
        <v>945</v>
      </c>
      <c r="J340" s="1935">
        <f>J191</f>
        <v>3.36</v>
      </c>
      <c r="K340" s="1936" t="s">
        <v>622</v>
      </c>
      <c r="L340" s="1937">
        <f t="shared" si="42"/>
        <v>12.195500000000001</v>
      </c>
      <c r="M340" s="1938">
        <f t="shared" si="42"/>
        <v>15.555500000000002</v>
      </c>
      <c r="N340" s="1941" t="s">
        <v>622</v>
      </c>
      <c r="O340" s="1587">
        <f>M340/10000</f>
        <v>0.0015555500000000002</v>
      </c>
      <c r="P340" s="1664" t="s">
        <v>622</v>
      </c>
    </row>
    <row r="341" spans="1:16" ht="16.5">
      <c r="A341" s="187"/>
      <c r="B341" s="310"/>
      <c r="C341" s="310"/>
      <c r="D341" s="310"/>
      <c r="E341" s="310"/>
      <c r="F341" s="310"/>
      <c r="G341" s="310"/>
      <c r="H341" s="311"/>
      <c r="I341" s="122"/>
      <c r="J341" s="1935"/>
      <c r="K341" s="1936"/>
      <c r="L341" s="1937"/>
      <c r="M341" s="1940"/>
      <c r="N341" s="1940"/>
      <c r="O341" s="522"/>
      <c r="P341" s="123"/>
    </row>
    <row r="342" spans="1:16" ht="17.25">
      <c r="A342" s="309">
        <f>A194</f>
        <v>3</v>
      </c>
      <c r="B342" s="310" t="str">
        <f>B194</f>
        <v>Общий  анализ крови</v>
      </c>
      <c r="C342" s="310"/>
      <c r="D342" s="310"/>
      <c r="E342" s="310"/>
      <c r="F342" s="310"/>
      <c r="G342" s="310"/>
      <c r="H342" s="311"/>
      <c r="I342" s="225" t="s">
        <v>945</v>
      </c>
      <c r="J342" s="1935">
        <f>J210</f>
        <v>4.46</v>
      </c>
      <c r="K342" s="1936">
        <f>K210</f>
        <v>3.3099999999999996</v>
      </c>
      <c r="L342" s="1937">
        <f>L210</f>
        <v>1.06116</v>
      </c>
      <c r="M342" s="1938">
        <f>M210</f>
        <v>5.52116</v>
      </c>
      <c r="N342" s="1938">
        <f>N210</f>
        <v>4.37116</v>
      </c>
      <c r="O342" s="1587">
        <f>M342/10000</f>
        <v>0.000552116</v>
      </c>
      <c r="P342" s="1587">
        <f>N342/10000</f>
        <v>0.000437116</v>
      </c>
    </row>
    <row r="343" spans="1:16" ht="16.5">
      <c r="A343" s="187"/>
      <c r="B343" s="310"/>
      <c r="C343" s="310"/>
      <c r="D343" s="310"/>
      <c r="E343" s="310"/>
      <c r="F343" s="310"/>
      <c r="G343" s="310"/>
      <c r="H343" s="311"/>
      <c r="I343" s="122"/>
      <c r="J343" s="1935"/>
      <c r="K343" s="1936"/>
      <c r="L343" s="1937"/>
      <c r="M343" s="1940"/>
      <c r="N343" s="1940"/>
      <c r="O343" s="522"/>
      <c r="P343" s="123"/>
    </row>
    <row r="344" spans="1:16" ht="16.5">
      <c r="A344" s="187"/>
      <c r="B344" s="310"/>
      <c r="C344" s="310"/>
      <c r="D344" s="310"/>
      <c r="E344" s="310"/>
      <c r="F344" s="310"/>
      <c r="G344" s="310"/>
      <c r="H344" s="311"/>
      <c r="I344" s="122"/>
      <c r="J344" s="1935"/>
      <c r="K344" s="1936"/>
      <c r="L344" s="1937"/>
      <c r="M344" s="1940"/>
      <c r="N344" s="1940"/>
      <c r="O344" s="522"/>
      <c r="P344" s="123"/>
    </row>
    <row r="345" spans="1:16" ht="17.25">
      <c r="A345" s="309">
        <f>A211</f>
        <v>4</v>
      </c>
      <c r="B345" s="310" t="str">
        <f>B211</f>
        <v>Развернутый  анализ крови</v>
      </c>
      <c r="C345" s="310"/>
      <c r="D345" s="310"/>
      <c r="E345" s="310"/>
      <c r="F345" s="310"/>
      <c r="G345" s="310"/>
      <c r="H345" s="311"/>
      <c r="I345" s="225" t="s">
        <v>945</v>
      </c>
      <c r="J345" s="1935">
        <f>J229</f>
        <v>7.7700000000000005</v>
      </c>
      <c r="K345" s="1936">
        <f>K229</f>
        <v>5.8999999999999995</v>
      </c>
      <c r="L345" s="1937">
        <f>L229</f>
        <v>1.4081899999999998</v>
      </c>
      <c r="M345" s="1938">
        <f>M229</f>
        <v>9.178189999999999</v>
      </c>
      <c r="N345" s="1938">
        <f>N229</f>
        <v>7.308190000000001</v>
      </c>
      <c r="O345" s="1587">
        <f>M345/10000</f>
        <v>0.000917819</v>
      </c>
      <c r="P345" s="1587">
        <f>N345/10000</f>
        <v>0.0007308190000000001</v>
      </c>
    </row>
    <row r="346" spans="1:16" ht="16.5">
      <c r="A346" s="187"/>
      <c r="B346" s="310"/>
      <c r="C346" s="310"/>
      <c r="D346" s="310"/>
      <c r="E346" s="310"/>
      <c r="F346" s="310"/>
      <c r="G346" s="310"/>
      <c r="H346" s="311"/>
      <c r="I346" s="122"/>
      <c r="J346" s="1935"/>
      <c r="K346" s="1936"/>
      <c r="L346" s="1937"/>
      <c r="M346" s="1940"/>
      <c r="N346" s="1940"/>
      <c r="O346" s="522"/>
      <c r="P346" s="123"/>
    </row>
    <row r="347" spans="1:16" ht="16.5">
      <c r="A347" s="187"/>
      <c r="B347" s="310"/>
      <c r="C347" s="310"/>
      <c r="D347" s="310"/>
      <c r="E347" s="310"/>
      <c r="F347" s="310"/>
      <c r="G347" s="310"/>
      <c r="H347" s="311"/>
      <c r="I347" s="122"/>
      <c r="J347" s="1935"/>
      <c r="K347" s="1936"/>
      <c r="L347" s="1937"/>
      <c r="M347" s="1940"/>
      <c r="N347" s="1940"/>
      <c r="O347" s="522"/>
      <c r="P347" s="123"/>
    </row>
    <row r="348" spans="1:16" ht="17.25">
      <c r="A348" s="309">
        <f>A230</f>
        <v>5</v>
      </c>
      <c r="B348" s="310" t="str">
        <f>B230</f>
        <v>Общий  анализ крови  (тройка)</v>
      </c>
      <c r="C348" s="310"/>
      <c r="D348" s="310"/>
      <c r="E348" s="310"/>
      <c r="F348" s="310"/>
      <c r="G348" s="310"/>
      <c r="H348" s="311"/>
      <c r="I348" s="225" t="s">
        <v>945</v>
      </c>
      <c r="J348" s="1935">
        <f>J242</f>
        <v>1.96</v>
      </c>
      <c r="K348" s="1936">
        <f>K242</f>
        <v>1.65</v>
      </c>
      <c r="L348" s="1937">
        <f>L242</f>
        <v>0.44720954</v>
      </c>
      <c r="M348" s="1938">
        <f>M242</f>
        <v>2.40720954</v>
      </c>
      <c r="N348" s="1938">
        <f>N242</f>
        <v>2.09720954</v>
      </c>
      <c r="O348" s="1587">
        <f>M348/10000</f>
        <v>0.00024072095400000002</v>
      </c>
      <c r="P348" s="1587">
        <f>N348/10000</f>
        <v>0.00020972095400000003</v>
      </c>
    </row>
    <row r="349" spans="1:16" ht="16.5">
      <c r="A349" s="187"/>
      <c r="B349" s="310"/>
      <c r="C349" s="310"/>
      <c r="D349" s="310"/>
      <c r="E349" s="310"/>
      <c r="F349" s="310"/>
      <c r="G349" s="310"/>
      <c r="H349" s="311"/>
      <c r="I349" s="122"/>
      <c r="J349" s="1935"/>
      <c r="K349" s="1936"/>
      <c r="L349" s="1937"/>
      <c r="M349" s="1940"/>
      <c r="N349" s="1940"/>
      <c r="O349" s="522"/>
      <c r="P349" s="123"/>
    </row>
    <row r="350" spans="1:16" ht="16.5">
      <c r="A350" s="187"/>
      <c r="B350" s="310"/>
      <c r="C350" s="310"/>
      <c r="D350" s="310"/>
      <c r="E350" s="310"/>
      <c r="F350" s="310"/>
      <c r="G350" s="310"/>
      <c r="H350" s="311"/>
      <c r="I350" s="122"/>
      <c r="J350" s="1935"/>
      <c r="K350" s="1936"/>
      <c r="L350" s="1937"/>
      <c r="M350" s="1940"/>
      <c r="N350" s="1940"/>
      <c r="O350" s="522"/>
      <c r="P350" s="123"/>
    </row>
    <row r="351" spans="1:16" ht="17.25">
      <c r="A351" s="309">
        <f>A243</f>
        <v>6</v>
      </c>
      <c r="B351" s="310" t="str">
        <f>B243</f>
        <v>Общий  анализ мочи</v>
      </c>
      <c r="C351" s="310"/>
      <c r="D351" s="310"/>
      <c r="E351" s="310"/>
      <c r="F351" s="310"/>
      <c r="G351" s="310"/>
      <c r="H351" s="311"/>
      <c r="I351" s="225" t="s">
        <v>945</v>
      </c>
      <c r="J351" s="1935">
        <f>J256</f>
        <v>2.5</v>
      </c>
      <c r="K351" s="1936">
        <f>K256</f>
        <v>1.54</v>
      </c>
      <c r="L351" s="1937">
        <f>L256</f>
        <v>0.49523399999999995</v>
      </c>
      <c r="M351" s="1938">
        <f>M256</f>
        <v>2.995234</v>
      </c>
      <c r="N351" s="1938">
        <f>N256</f>
        <v>2.035234</v>
      </c>
      <c r="O351" s="1587">
        <f>M351/10000</f>
        <v>0.00029952339999999997</v>
      </c>
      <c r="P351" s="1587">
        <f>N351/10000</f>
        <v>0.0002035234</v>
      </c>
    </row>
    <row r="352" spans="1:16" ht="16.5">
      <c r="A352" s="187"/>
      <c r="B352" s="310"/>
      <c r="C352" s="310"/>
      <c r="D352" s="310"/>
      <c r="E352" s="310"/>
      <c r="F352" s="310"/>
      <c r="G352" s="310"/>
      <c r="H352" s="311"/>
      <c r="I352" s="122"/>
      <c r="J352" s="1935"/>
      <c r="K352" s="1936"/>
      <c r="L352" s="1937"/>
      <c r="M352" s="1940"/>
      <c r="N352" s="1940"/>
      <c r="O352" s="522"/>
      <c r="P352" s="123"/>
    </row>
    <row r="353" spans="1:16" ht="17.25">
      <c r="A353" s="309">
        <f>A257</f>
        <v>7</v>
      </c>
      <c r="B353" s="310" t="str">
        <f>B257</f>
        <v>Определение общего холестерина</v>
      </c>
      <c r="C353" s="310"/>
      <c r="D353" s="310"/>
      <c r="E353" s="310"/>
      <c r="F353" s="310"/>
      <c r="G353" s="310"/>
      <c r="H353" s="311"/>
      <c r="I353" s="225" t="s">
        <v>945</v>
      </c>
      <c r="J353" s="1935">
        <f>J267</f>
        <v>1.88</v>
      </c>
      <c r="K353" s="1936">
        <f>K267</f>
        <v>1.5</v>
      </c>
      <c r="L353" s="1937">
        <f>L267</f>
        <v>0.9057999999999999</v>
      </c>
      <c r="M353" s="1938">
        <f>M267</f>
        <v>2.7858</v>
      </c>
      <c r="N353" s="1938">
        <f>N267</f>
        <v>2.4058</v>
      </c>
      <c r="O353" s="1587">
        <f>M353/10000</f>
        <v>0.00027858</v>
      </c>
      <c r="P353" s="1587">
        <f>N353/10000</f>
        <v>0.00024058</v>
      </c>
    </row>
    <row r="354" spans="1:16" ht="16.5">
      <c r="A354" s="187"/>
      <c r="B354" s="310"/>
      <c r="C354" s="310"/>
      <c r="D354" s="310"/>
      <c r="E354" s="310"/>
      <c r="F354" s="310"/>
      <c r="G354" s="310"/>
      <c r="H354" s="311"/>
      <c r="I354" s="122"/>
      <c r="J354" s="1935"/>
      <c r="K354" s="1936"/>
      <c r="L354" s="1937"/>
      <c r="M354" s="1940"/>
      <c r="N354" s="1940"/>
      <c r="O354" s="522"/>
      <c r="P354" s="123"/>
    </row>
    <row r="355" spans="1:16" ht="16.5">
      <c r="A355" s="187"/>
      <c r="B355" s="310"/>
      <c r="C355" s="310"/>
      <c r="D355" s="310"/>
      <c r="E355" s="310"/>
      <c r="F355" s="310"/>
      <c r="G355" s="310"/>
      <c r="H355" s="311"/>
      <c r="I355" s="122"/>
      <c r="J355" s="1935"/>
      <c r="K355" s="1936"/>
      <c r="L355" s="1937"/>
      <c r="M355" s="1940"/>
      <c r="N355" s="1940"/>
      <c r="O355" s="522"/>
      <c r="P355" s="123"/>
    </row>
    <row r="356" spans="1:28" s="320" customFormat="1" ht="18" customHeight="1">
      <c r="A356" s="317">
        <f>A268</f>
        <v>8</v>
      </c>
      <c r="B356" s="2259" t="str">
        <f>B268</f>
        <v>Определение холестерина альфа-липопротеинов после осаждения пре-бета- и бета-липопротеинов с расчетом коэффициента атерогенности</v>
      </c>
      <c r="C356" s="2259"/>
      <c r="D356" s="2259"/>
      <c r="E356" s="2259"/>
      <c r="F356" s="2259"/>
      <c r="G356" s="2259"/>
      <c r="H356" s="2260"/>
      <c r="I356" s="318"/>
      <c r="J356" s="1935"/>
      <c r="K356" s="1936"/>
      <c r="L356" s="1937"/>
      <c r="M356" s="1940"/>
      <c r="N356" s="1940"/>
      <c r="O356" s="1610"/>
      <c r="P356" s="319"/>
      <c r="R356" s="2577"/>
      <c r="S356" s="2577"/>
      <c r="T356" s="2577"/>
      <c r="U356" s="2577"/>
      <c r="V356" s="2577"/>
      <c r="W356" s="2577"/>
      <c r="X356" s="2577"/>
      <c r="Y356" s="2577"/>
      <c r="Z356" s="2577"/>
      <c r="AA356" s="2577"/>
      <c r="AB356" s="2577"/>
    </row>
    <row r="357" spans="1:28" s="320" customFormat="1" ht="18" customHeight="1">
      <c r="A357" s="317"/>
      <c r="B357" s="2259"/>
      <c r="C357" s="2259"/>
      <c r="D357" s="2259"/>
      <c r="E357" s="2259"/>
      <c r="F357" s="2259"/>
      <c r="G357" s="2259"/>
      <c r="H357" s="2260"/>
      <c r="I357" s="318"/>
      <c r="J357" s="1935"/>
      <c r="K357" s="1936"/>
      <c r="L357" s="1937"/>
      <c r="M357" s="1940"/>
      <c r="N357" s="1940"/>
      <c r="O357" s="1610"/>
      <c r="P357" s="319"/>
      <c r="R357" s="2577"/>
      <c r="S357" s="2577"/>
      <c r="T357" s="2577"/>
      <c r="U357" s="2577"/>
      <c r="V357" s="2577"/>
      <c r="W357" s="2577"/>
      <c r="X357" s="2577"/>
      <c r="Y357" s="2577"/>
      <c r="Z357" s="2577"/>
      <c r="AA357" s="2577"/>
      <c r="AB357" s="2577"/>
    </row>
    <row r="358" spans="1:28" s="320" customFormat="1" ht="18" customHeight="1">
      <c r="A358" s="317"/>
      <c r="B358" s="2259"/>
      <c r="C358" s="2259"/>
      <c r="D358" s="2259"/>
      <c r="E358" s="2259"/>
      <c r="F358" s="2259"/>
      <c r="G358" s="2259"/>
      <c r="H358" s="2260"/>
      <c r="I358" s="318"/>
      <c r="J358" s="1935"/>
      <c r="K358" s="1936"/>
      <c r="L358" s="1937"/>
      <c r="M358" s="1940"/>
      <c r="N358" s="1940"/>
      <c r="O358" s="1610"/>
      <c r="P358" s="319"/>
      <c r="R358" s="2577"/>
      <c r="S358" s="2577"/>
      <c r="T358" s="2577"/>
      <c r="U358" s="2577"/>
      <c r="V358" s="2577"/>
      <c r="W358" s="2577"/>
      <c r="X358" s="2577"/>
      <c r="Y358" s="2577"/>
      <c r="Z358" s="2577"/>
      <c r="AA358" s="2577"/>
      <c r="AB358" s="2577"/>
    </row>
    <row r="359" spans="1:16" ht="17.25">
      <c r="A359" s="187"/>
      <c r="B359" s="310"/>
      <c r="C359" s="310"/>
      <c r="D359" s="310"/>
      <c r="E359" s="310"/>
      <c r="F359" s="2301" t="str">
        <f>E284</f>
        <v>альфа-холестерин</v>
      </c>
      <c r="G359" s="2301"/>
      <c r="H359" s="2302"/>
      <c r="I359" s="225" t="s">
        <v>945</v>
      </c>
      <c r="J359" s="1935">
        <f aca="true" t="shared" si="43" ref="J359:N360">J284</f>
        <v>2.18</v>
      </c>
      <c r="K359" s="1936">
        <f t="shared" si="43"/>
        <v>1.72</v>
      </c>
      <c r="L359" s="1937">
        <f t="shared" si="43"/>
        <v>0.6158267619999999</v>
      </c>
      <c r="M359" s="1938">
        <f t="shared" si="43"/>
        <v>2.795826762</v>
      </c>
      <c r="N359" s="1938">
        <f t="shared" si="43"/>
        <v>2.335826762</v>
      </c>
      <c r="O359" s="1587">
        <f>M359/10000</f>
        <v>0.00027958267619999997</v>
      </c>
      <c r="P359" s="1587">
        <f>N359/10000</f>
        <v>0.0002335826762</v>
      </c>
    </row>
    <row r="360" spans="1:16" ht="17.25" hidden="1">
      <c r="A360" s="187"/>
      <c r="B360" s="310"/>
      <c r="C360" s="310"/>
      <c r="D360" s="310"/>
      <c r="E360" s="310"/>
      <c r="F360" s="2301" t="str">
        <f>E285</f>
        <v>ЛНП-холестерин</v>
      </c>
      <c r="G360" s="2301"/>
      <c r="H360" s="2302"/>
      <c r="I360" s="225" t="s">
        <v>945</v>
      </c>
      <c r="J360" s="1935">
        <f t="shared" si="43"/>
        <v>1.5250000000000004</v>
      </c>
      <c r="K360" s="1936">
        <f t="shared" si="43"/>
        <v>1.405</v>
      </c>
      <c r="L360" s="1937">
        <f t="shared" si="43"/>
        <v>0.6158153689999999</v>
      </c>
      <c r="M360" s="1938">
        <f t="shared" si="43"/>
        <v>2.140815369</v>
      </c>
      <c r="N360" s="1938">
        <f t="shared" si="43"/>
        <v>2.020815369</v>
      </c>
      <c r="O360" s="522"/>
      <c r="P360" s="123"/>
    </row>
    <row r="361" spans="1:16" ht="17.25">
      <c r="A361" s="187"/>
      <c r="B361" s="310"/>
      <c r="C361" s="310"/>
      <c r="D361" s="310"/>
      <c r="E361" s="310"/>
      <c r="F361" s="1145"/>
      <c r="G361" s="1145"/>
      <c r="H361" s="312"/>
      <c r="I361" s="225"/>
      <c r="J361" s="1935"/>
      <c r="K361" s="1936"/>
      <c r="L361" s="1937"/>
      <c r="M361" s="1938"/>
      <c r="N361" s="1938"/>
      <c r="O361" s="522"/>
      <c r="P361" s="123"/>
    </row>
    <row r="362" spans="1:16" ht="17.25">
      <c r="A362" s="317">
        <v>9</v>
      </c>
      <c r="B362" s="310" t="s">
        <v>255</v>
      </c>
      <c r="C362" s="310"/>
      <c r="D362" s="310"/>
      <c r="E362" s="310"/>
      <c r="F362" s="1145"/>
      <c r="G362" s="1145"/>
      <c r="H362" s="312"/>
      <c r="I362" s="225" t="s">
        <v>945</v>
      </c>
      <c r="J362" s="1935">
        <f>J359+J69</f>
        <v>2.7</v>
      </c>
      <c r="K362" s="1936">
        <f>K359+K69</f>
        <v>1.92</v>
      </c>
      <c r="L362" s="1937">
        <f>L359+L69</f>
        <v>1.3678067619999998</v>
      </c>
      <c r="M362" s="1938">
        <f>M359+M69</f>
        <v>4.067806762</v>
      </c>
      <c r="N362" s="1938">
        <f>N359+N69</f>
        <v>3.2878067619999998</v>
      </c>
      <c r="O362" s="1587">
        <f>M362/10000</f>
        <v>0.0004067806762</v>
      </c>
      <c r="P362" s="1587">
        <f>N362/10000</f>
        <v>0.0003287806762</v>
      </c>
    </row>
    <row r="363" spans="1:16" ht="17.25">
      <c r="A363" s="187"/>
      <c r="B363" s="310"/>
      <c r="C363" s="310"/>
      <c r="D363" s="310"/>
      <c r="E363" s="310"/>
      <c r="F363" s="1145"/>
      <c r="G363" s="1145"/>
      <c r="H363" s="312"/>
      <c r="I363" s="225"/>
      <c r="J363" s="1935"/>
      <c r="K363" s="1936"/>
      <c r="L363" s="1937"/>
      <c r="M363" s="1938"/>
      <c r="N363" s="1938"/>
      <c r="O363" s="522"/>
      <c r="P363" s="123"/>
    </row>
    <row r="364" spans="1:16" ht="17.25">
      <c r="A364" s="187"/>
      <c r="B364" s="310"/>
      <c r="C364" s="310"/>
      <c r="D364" s="310"/>
      <c r="E364" s="310"/>
      <c r="F364" s="1145"/>
      <c r="G364" s="1145"/>
      <c r="H364" s="312"/>
      <c r="I364" s="225"/>
      <c r="J364" s="1942"/>
      <c r="K364" s="1943"/>
      <c r="L364" s="1944"/>
      <c r="M364" s="1945"/>
      <c r="N364" s="1938"/>
      <c r="O364" s="522"/>
      <c r="P364" s="123"/>
    </row>
    <row r="365" spans="1:16" ht="16.5">
      <c r="A365" s="124"/>
      <c r="B365" s="321"/>
      <c r="C365" s="321"/>
      <c r="D365" s="321"/>
      <c r="E365" s="321"/>
      <c r="F365" s="321"/>
      <c r="G365" s="321"/>
      <c r="H365" s="322"/>
      <c r="I365" s="120"/>
      <c r="J365" s="278"/>
      <c r="K365" s="323"/>
      <c r="L365" s="1299"/>
      <c r="M365" s="324"/>
      <c r="N365" s="324"/>
      <c r="O365" s="523"/>
      <c r="P365" s="323"/>
    </row>
    <row r="368" spans="1:23" ht="15.75">
      <c r="A368" s="325" t="str">
        <f>A140</f>
        <v>Главный бухгалтер</v>
      </c>
      <c r="B368" s="325"/>
      <c r="C368" s="325"/>
      <c r="D368" s="325"/>
      <c r="E368" s="325"/>
      <c r="F368" s="325"/>
      <c r="G368" s="325"/>
      <c r="H368" s="325"/>
      <c r="I368" s="325"/>
      <c r="J368" s="326"/>
      <c r="K368" s="325"/>
      <c r="L368" s="325"/>
      <c r="M368" s="325" t="str">
        <f>N140</f>
        <v>М.В. Ровгач</v>
      </c>
      <c r="O368" s="326"/>
      <c r="P368" s="326"/>
      <c r="Q368" s="326"/>
      <c r="R368" s="2578"/>
      <c r="S368" s="2578"/>
      <c r="T368" s="2578"/>
      <c r="U368" s="2578"/>
      <c r="V368" s="2578"/>
      <c r="W368" s="2578"/>
    </row>
    <row r="369" spans="1:23" ht="15.75">
      <c r="A369" s="325"/>
      <c r="B369" s="325"/>
      <c r="C369" s="325"/>
      <c r="D369" s="325"/>
      <c r="E369" s="325"/>
      <c r="F369" s="325"/>
      <c r="G369" s="325"/>
      <c r="H369" s="325"/>
      <c r="I369" s="325"/>
      <c r="J369" s="326"/>
      <c r="K369" s="326"/>
      <c r="L369" s="327"/>
      <c r="M369" s="326"/>
      <c r="N369" s="326"/>
      <c r="O369" s="326"/>
      <c r="P369" s="326"/>
      <c r="Q369" s="326"/>
      <c r="R369" s="2578"/>
      <c r="S369" s="2578"/>
      <c r="T369" s="2578"/>
      <c r="U369" s="2578"/>
      <c r="V369" s="2578"/>
      <c r="W369" s="2578"/>
    </row>
    <row r="370" spans="1:23" ht="15.75">
      <c r="A370" s="325" t="str">
        <f>A142</f>
        <v>Бухгалтер</v>
      </c>
      <c r="B370" s="325"/>
      <c r="C370" s="325"/>
      <c r="D370" s="325"/>
      <c r="E370" s="325"/>
      <c r="F370" s="325"/>
      <c r="G370" s="325"/>
      <c r="H370" s="325"/>
      <c r="I370" s="325"/>
      <c r="J370" s="326"/>
      <c r="K370" s="325"/>
      <c r="L370" s="327"/>
      <c r="M370" s="325" t="str">
        <f>N142</f>
        <v>О.Н.Гаркавая</v>
      </c>
      <c r="O370" s="326"/>
      <c r="P370" s="326"/>
      <c r="Q370" s="326"/>
      <c r="R370" s="2578"/>
      <c r="S370" s="2578"/>
      <c r="T370" s="2578"/>
      <c r="U370" s="2578"/>
      <c r="V370" s="2578"/>
      <c r="W370" s="2578"/>
    </row>
    <row r="371" spans="1:23" ht="15.75">
      <c r="A371" s="325"/>
      <c r="B371" s="325"/>
      <c r="C371" s="325"/>
      <c r="D371" s="325"/>
      <c r="E371" s="325"/>
      <c r="F371" s="325"/>
      <c r="G371" s="325"/>
      <c r="H371" s="325"/>
      <c r="I371" s="325"/>
      <c r="J371" s="326"/>
      <c r="K371" s="326"/>
      <c r="L371" s="327"/>
      <c r="M371" s="326"/>
      <c r="N371" s="326"/>
      <c r="O371" s="326"/>
      <c r="P371" s="326"/>
      <c r="Q371" s="326"/>
      <c r="R371" s="2578"/>
      <c r="S371" s="2578"/>
      <c r="T371" s="2578"/>
      <c r="U371" s="2578"/>
      <c r="V371" s="2578"/>
      <c r="W371" s="2578"/>
    </row>
    <row r="372" spans="1:23" ht="15.75">
      <c r="A372" s="325" t="str">
        <f>A144</f>
        <v>Начальник  ПЭО</v>
      </c>
      <c r="B372" s="325"/>
      <c r="C372" s="325"/>
      <c r="D372" s="325"/>
      <c r="E372" s="325"/>
      <c r="F372" s="325"/>
      <c r="G372" s="325"/>
      <c r="H372" s="325"/>
      <c r="I372" s="325"/>
      <c r="J372" s="326"/>
      <c r="K372" s="325"/>
      <c r="L372" s="325"/>
      <c r="M372" s="325" t="str">
        <f>N144</f>
        <v>В.К.Лысая</v>
      </c>
      <c r="O372" s="326"/>
      <c r="P372" s="326"/>
      <c r="Q372" s="326"/>
      <c r="R372" s="2578"/>
      <c r="S372" s="2578"/>
      <c r="T372" s="2578"/>
      <c r="U372" s="2578"/>
      <c r="V372" s="2578"/>
      <c r="W372" s="2578"/>
    </row>
    <row r="373" spans="1:23" ht="15.75">
      <c r="A373" s="325"/>
      <c r="B373" s="325"/>
      <c r="C373" s="325"/>
      <c r="D373" s="325"/>
      <c r="E373" s="325"/>
      <c r="F373" s="325"/>
      <c r="G373" s="325"/>
      <c r="H373" s="325"/>
      <c r="I373" s="325"/>
      <c r="J373" s="326"/>
      <c r="K373" s="326"/>
      <c r="L373" s="325"/>
      <c r="M373" s="325"/>
      <c r="N373" s="326"/>
      <c r="O373" s="326"/>
      <c r="P373" s="326"/>
      <c r="Q373" s="326"/>
      <c r="R373" s="2578"/>
      <c r="S373" s="2578"/>
      <c r="T373" s="2578"/>
      <c r="U373" s="2578"/>
      <c r="V373" s="2578"/>
      <c r="W373" s="2578"/>
    </row>
    <row r="374" spans="1:23" ht="15.75">
      <c r="A374" s="325" t="str">
        <f>A146</f>
        <v>Экономист</v>
      </c>
      <c r="B374" s="325"/>
      <c r="C374" s="325"/>
      <c r="D374" s="325"/>
      <c r="E374" s="325"/>
      <c r="F374" s="325"/>
      <c r="G374" s="325"/>
      <c r="H374" s="325"/>
      <c r="I374" s="325"/>
      <c r="J374" s="326"/>
      <c r="K374" s="325"/>
      <c r="L374" s="325"/>
      <c r="M374" s="325" t="str">
        <f>N146</f>
        <v>Е.О.Андреева</v>
      </c>
      <c r="O374" s="326"/>
      <c r="P374" s="326"/>
      <c r="Q374" s="326"/>
      <c r="R374" s="2578"/>
      <c r="S374" s="2578"/>
      <c r="T374" s="2578"/>
      <c r="U374" s="2578"/>
      <c r="V374" s="2578"/>
      <c r="W374" s="2578"/>
    </row>
    <row r="375" spans="1:14" ht="12.75">
      <c r="A375" s="328"/>
      <c r="B375" s="329"/>
      <c r="C375" s="329"/>
      <c r="D375" s="329"/>
      <c r="E375" s="329"/>
      <c r="F375" s="329"/>
      <c r="G375" s="329"/>
      <c r="H375" s="329"/>
      <c r="I375" s="330"/>
      <c r="J375" s="331"/>
      <c r="K375" s="331"/>
      <c r="M375" s="331"/>
      <c r="N375" s="331"/>
    </row>
    <row r="376" spans="1:14" ht="12.75">
      <c r="A376" s="328"/>
      <c r="B376" s="329"/>
      <c r="C376" s="329"/>
      <c r="D376" s="329"/>
      <c r="E376" s="329"/>
      <c r="F376" s="329"/>
      <c r="G376" s="329"/>
      <c r="H376" s="329"/>
      <c r="I376" s="330"/>
      <c r="J376" s="331"/>
      <c r="K376" s="331"/>
      <c r="M376" s="331"/>
      <c r="N376" s="331"/>
    </row>
    <row r="377" spans="1:14" ht="12.75">
      <c r="A377" s="328"/>
      <c r="B377" s="329"/>
      <c r="C377" s="329"/>
      <c r="D377" s="329"/>
      <c r="E377" s="329"/>
      <c r="F377" s="329"/>
      <c r="G377" s="329"/>
      <c r="H377" s="329"/>
      <c r="I377" s="330"/>
      <c r="J377" s="331"/>
      <c r="K377" s="331"/>
      <c r="M377" s="331"/>
      <c r="N377" s="331"/>
    </row>
    <row r="378" spans="1:14" ht="12.75">
      <c r="A378" s="328"/>
      <c r="B378" s="329"/>
      <c r="C378" s="329"/>
      <c r="D378" s="329"/>
      <c r="E378" s="329"/>
      <c r="F378" s="329"/>
      <c r="G378" s="329"/>
      <c r="H378" s="329"/>
      <c r="I378" s="330"/>
      <c r="J378" s="331"/>
      <c r="K378" s="331"/>
      <c r="M378" s="331"/>
      <c r="N378" s="331"/>
    </row>
    <row r="379" spans="1:14" ht="12.75">
      <c r="A379" s="328"/>
      <c r="B379" s="329"/>
      <c r="C379" s="329"/>
      <c r="D379" s="329"/>
      <c r="E379" s="329"/>
      <c r="F379" s="329"/>
      <c r="G379" s="329"/>
      <c r="H379" s="329"/>
      <c r="I379" s="330"/>
      <c r="J379" s="331"/>
      <c r="K379" s="331"/>
      <c r="M379" s="331"/>
      <c r="N379" s="331"/>
    </row>
    <row r="380" spans="1:14" ht="12.75">
      <c r="A380" s="328"/>
      <c r="B380" s="329"/>
      <c r="C380" s="329"/>
      <c r="D380" s="329"/>
      <c r="E380" s="329"/>
      <c r="F380" s="329"/>
      <c r="G380" s="329"/>
      <c r="H380" s="329"/>
      <c r="I380" s="330"/>
      <c r="J380" s="331"/>
      <c r="K380" s="331"/>
      <c r="M380" s="331"/>
      <c r="N380" s="331"/>
    </row>
    <row r="381" spans="1:14" ht="12.75">
      <c r="A381" s="328"/>
      <c r="B381" s="329"/>
      <c r="C381" s="329"/>
      <c r="D381" s="329"/>
      <c r="E381" s="329"/>
      <c r="F381" s="329"/>
      <c r="G381" s="329"/>
      <c r="H381" s="329"/>
      <c r="I381" s="330"/>
      <c r="J381" s="331"/>
      <c r="K381" s="331"/>
      <c r="M381" s="331"/>
      <c r="N381" s="331"/>
    </row>
    <row r="382" spans="1:14" ht="12.75">
      <c r="A382" s="328"/>
      <c r="B382" s="329"/>
      <c r="C382" s="329"/>
      <c r="D382" s="329"/>
      <c r="E382" s="329"/>
      <c r="F382" s="329"/>
      <c r="G382" s="329"/>
      <c r="H382" s="329"/>
      <c r="I382" s="330"/>
      <c r="J382" s="331"/>
      <c r="K382" s="331"/>
      <c r="M382" s="331"/>
      <c r="N382" s="331"/>
    </row>
    <row r="383" spans="1:14" ht="12.75">
      <c r="A383" s="328"/>
      <c r="B383" s="329"/>
      <c r="C383" s="329"/>
      <c r="D383" s="329"/>
      <c r="E383" s="329"/>
      <c r="F383" s="329"/>
      <c r="G383" s="329"/>
      <c r="H383" s="329"/>
      <c r="I383" s="330"/>
      <c r="J383" s="331"/>
      <c r="K383" s="331"/>
      <c r="M383" s="331"/>
      <c r="N383" s="331"/>
    </row>
    <row r="384" spans="1:14" ht="12.75">
      <c r="A384" s="328"/>
      <c r="B384" s="329"/>
      <c r="C384" s="329"/>
      <c r="D384" s="329"/>
      <c r="E384" s="329"/>
      <c r="F384" s="329"/>
      <c r="G384" s="329"/>
      <c r="H384" s="329"/>
      <c r="I384" s="330"/>
      <c r="J384" s="331"/>
      <c r="K384" s="331"/>
      <c r="M384" s="331"/>
      <c r="N384" s="331"/>
    </row>
    <row r="385" spans="1:14" ht="12.75">
      <c r="A385" s="328"/>
      <c r="B385" s="329"/>
      <c r="C385" s="329"/>
      <c r="D385" s="329"/>
      <c r="E385" s="329"/>
      <c r="F385" s="329"/>
      <c r="G385" s="329"/>
      <c r="H385" s="329"/>
      <c r="I385" s="330"/>
      <c r="J385" s="331"/>
      <c r="K385" s="331"/>
      <c r="M385" s="331"/>
      <c r="N385" s="331"/>
    </row>
    <row r="386" spans="1:14" ht="19.5">
      <c r="A386" s="328"/>
      <c r="B386" s="329"/>
      <c r="C386" s="660"/>
      <c r="D386" s="660"/>
      <c r="E386" s="660"/>
      <c r="F386" s="660"/>
      <c r="G386" s="661" t="s">
        <v>101</v>
      </c>
      <c r="H386" s="660"/>
      <c r="I386" s="662"/>
      <c r="J386" s="663"/>
      <c r="K386" s="663"/>
      <c r="M386" s="331"/>
      <c r="N386" s="331"/>
    </row>
    <row r="387" spans="1:14" ht="19.5">
      <c r="A387" s="328"/>
      <c r="B387" s="329"/>
      <c r="C387" s="660"/>
      <c r="D387" s="660"/>
      <c r="E387" s="660"/>
      <c r="F387" s="660"/>
      <c r="G387" s="661" t="s">
        <v>99</v>
      </c>
      <c r="H387" s="660"/>
      <c r="I387" s="662"/>
      <c r="J387" s="663"/>
      <c r="K387" s="663"/>
      <c r="M387" s="331"/>
      <c r="N387" s="331"/>
    </row>
    <row r="388" spans="1:14" ht="19.5">
      <c r="A388" s="328"/>
      <c r="B388" s="332"/>
      <c r="C388" s="664"/>
      <c r="D388" s="664"/>
      <c r="E388" s="660"/>
      <c r="F388" s="660"/>
      <c r="G388" s="665" t="s">
        <v>153</v>
      </c>
      <c r="H388" s="666" t="str">
        <f>C320</f>
        <v>01.07.2017г.</v>
      </c>
      <c r="I388" s="667"/>
      <c r="J388" s="663"/>
      <c r="K388" s="663"/>
      <c r="M388" s="331"/>
      <c r="N388" s="331"/>
    </row>
    <row r="389" spans="1:14" ht="19.5">
      <c r="A389" s="328"/>
      <c r="B389" s="332"/>
      <c r="C389" s="333"/>
      <c r="D389" s="333"/>
      <c r="E389" s="329"/>
      <c r="F389" s="329"/>
      <c r="G389" s="334"/>
      <c r="H389" s="335"/>
      <c r="I389" s="336"/>
      <c r="J389" s="331"/>
      <c r="K389" s="331"/>
      <c r="M389" s="331"/>
      <c r="N389" s="331"/>
    </row>
    <row r="390" spans="1:14" ht="19.5">
      <c r="A390" s="328"/>
      <c r="B390" s="332"/>
      <c r="C390" s="333"/>
      <c r="D390" s="333"/>
      <c r="E390" s="329"/>
      <c r="F390" s="329"/>
      <c r="G390" s="337"/>
      <c r="H390" s="329"/>
      <c r="I390" s="336"/>
      <c r="J390" s="331"/>
      <c r="K390" s="331"/>
      <c r="M390" s="331"/>
      <c r="N390" s="331"/>
    </row>
    <row r="391" spans="1:14" ht="19.5">
      <c r="A391" s="328"/>
      <c r="B391" s="332"/>
      <c r="C391" s="333"/>
      <c r="D391" s="333"/>
      <c r="E391" s="329"/>
      <c r="F391" s="329"/>
      <c r="G391" s="337" t="s">
        <v>102</v>
      </c>
      <c r="H391" s="329"/>
      <c r="I391" s="336"/>
      <c r="J391" s="331"/>
      <c r="K391" s="331"/>
      <c r="M391" s="331"/>
      <c r="N391" s="331"/>
    </row>
    <row r="392" spans="1:14" ht="15">
      <c r="A392" s="338"/>
      <c r="B392" s="339"/>
      <c r="C392" s="339"/>
      <c r="D392" s="339"/>
      <c r="E392" s="340"/>
      <c r="F392" s="339"/>
      <c r="G392" s="339"/>
      <c r="H392" s="341"/>
      <c r="I392" s="342"/>
      <c r="J392" s="2326" t="s">
        <v>447</v>
      </c>
      <c r="K392" s="2327"/>
      <c r="L392" s="185" t="s">
        <v>923</v>
      </c>
      <c r="M392" s="2314" t="s">
        <v>443</v>
      </c>
      <c r="N392" s="2315"/>
    </row>
    <row r="393" spans="1:14" ht="15">
      <c r="A393" s="343"/>
      <c r="B393" s="344"/>
      <c r="C393" s="344"/>
      <c r="D393" s="344"/>
      <c r="E393" s="344"/>
      <c r="F393" s="344"/>
      <c r="G393" s="344"/>
      <c r="H393" s="345" t="s">
        <v>77</v>
      </c>
      <c r="I393" s="346"/>
      <c r="J393" s="2322"/>
      <c r="K393" s="2323"/>
      <c r="L393" s="191" t="s">
        <v>924</v>
      </c>
      <c r="M393" s="2318" t="s">
        <v>925</v>
      </c>
      <c r="N393" s="2319"/>
    </row>
    <row r="394" spans="1:14" ht="14.25" customHeight="1">
      <c r="A394" s="343" t="s">
        <v>444</v>
      </c>
      <c r="B394" s="344"/>
      <c r="C394" s="344"/>
      <c r="D394" s="344"/>
      <c r="E394" s="330" t="s">
        <v>445</v>
      </c>
      <c r="F394" s="344"/>
      <c r="G394" s="344"/>
      <c r="H394" s="345" t="s">
        <v>78</v>
      </c>
      <c r="I394" s="2321" t="s">
        <v>103</v>
      </c>
      <c r="J394" s="2320" t="s">
        <v>104</v>
      </c>
      <c r="K394" s="2320" t="s">
        <v>105</v>
      </c>
      <c r="L394" s="191" t="s">
        <v>448</v>
      </c>
      <c r="M394" s="2316" t="s">
        <v>453</v>
      </c>
      <c r="N394" s="2317"/>
    </row>
    <row r="395" spans="1:14" ht="12.75" customHeight="1">
      <c r="A395" s="343" t="s">
        <v>450</v>
      </c>
      <c r="B395" s="328"/>
      <c r="C395" s="328"/>
      <c r="D395" s="328"/>
      <c r="E395" s="328"/>
      <c r="F395" s="344"/>
      <c r="G395" s="344"/>
      <c r="H395" s="343" t="s">
        <v>79</v>
      </c>
      <c r="I395" s="2321"/>
      <c r="J395" s="2321"/>
      <c r="K395" s="2321"/>
      <c r="L395" s="191" t="s">
        <v>452</v>
      </c>
      <c r="M395" s="349" t="s">
        <v>926</v>
      </c>
      <c r="N395" s="2324" t="s">
        <v>106</v>
      </c>
    </row>
    <row r="396" spans="1:14" ht="12.75">
      <c r="A396" s="343"/>
      <c r="B396" s="344"/>
      <c r="C396" s="344"/>
      <c r="D396" s="344"/>
      <c r="E396" s="344"/>
      <c r="F396" s="344"/>
      <c r="G396" s="328"/>
      <c r="H396" s="343" t="s">
        <v>80</v>
      </c>
      <c r="I396" s="2321"/>
      <c r="J396" s="2321"/>
      <c r="K396" s="2321"/>
      <c r="L396" s="199"/>
      <c r="M396" s="350" t="s">
        <v>929</v>
      </c>
      <c r="N396" s="2325"/>
    </row>
    <row r="397" spans="1:14" ht="12.75">
      <c r="A397" s="343"/>
      <c r="B397" s="344"/>
      <c r="C397" s="344"/>
      <c r="D397" s="344"/>
      <c r="E397" s="344"/>
      <c r="F397" s="344"/>
      <c r="G397" s="328"/>
      <c r="H397" s="343" t="s">
        <v>81</v>
      </c>
      <c r="I397" s="2321"/>
      <c r="J397" s="2321"/>
      <c r="K397" s="2321"/>
      <c r="L397" s="199"/>
      <c r="M397" s="350"/>
      <c r="N397" s="2325"/>
    </row>
    <row r="398" spans="1:14" ht="12.75">
      <c r="A398" s="343"/>
      <c r="B398" s="344"/>
      <c r="C398" s="344"/>
      <c r="D398" s="344"/>
      <c r="E398" s="344"/>
      <c r="F398" s="344"/>
      <c r="G398" s="328"/>
      <c r="H398" s="343"/>
      <c r="I398" s="2321"/>
      <c r="J398" s="343"/>
      <c r="K398" s="2321"/>
      <c r="L398" s="199"/>
      <c r="M398" s="350"/>
      <c r="N398" s="2325"/>
    </row>
    <row r="399" spans="1:14" ht="12.75">
      <c r="A399" s="343"/>
      <c r="B399" s="344"/>
      <c r="C399" s="344"/>
      <c r="D399" s="344"/>
      <c r="E399" s="344"/>
      <c r="F399" s="344"/>
      <c r="G399" s="328"/>
      <c r="H399" s="343"/>
      <c r="I399" s="2321"/>
      <c r="J399" s="343"/>
      <c r="K399" s="346"/>
      <c r="L399" s="199"/>
      <c r="M399" s="350"/>
      <c r="N399" s="2325"/>
    </row>
    <row r="400" spans="1:14" ht="12.75">
      <c r="A400" s="351"/>
      <c r="B400" s="352"/>
      <c r="C400" s="352"/>
      <c r="D400" s="352"/>
      <c r="E400" s="352"/>
      <c r="F400" s="352"/>
      <c r="G400" s="352"/>
      <c r="H400" s="353"/>
      <c r="I400" s="348"/>
      <c r="J400" s="351" t="s">
        <v>933</v>
      </c>
      <c r="K400" s="348" t="s">
        <v>457</v>
      </c>
      <c r="L400" s="204" t="s">
        <v>457</v>
      </c>
      <c r="M400" s="354" t="s">
        <v>457</v>
      </c>
      <c r="N400" s="355" t="s">
        <v>457</v>
      </c>
    </row>
    <row r="401" spans="1:14" ht="12.75">
      <c r="A401" s="343"/>
      <c r="B401" s="344"/>
      <c r="C401" s="344"/>
      <c r="D401" s="344"/>
      <c r="E401" s="344"/>
      <c r="F401" s="344"/>
      <c r="G401" s="344"/>
      <c r="H401" s="345"/>
      <c r="I401" s="346"/>
      <c r="J401" s="343"/>
      <c r="K401" s="346"/>
      <c r="L401" s="199"/>
      <c r="M401" s="350"/>
      <c r="N401" s="356"/>
    </row>
    <row r="402" spans="1:14" ht="15.75">
      <c r="A402" s="357"/>
      <c r="B402" s="358"/>
      <c r="C402" s="359"/>
      <c r="D402" s="359"/>
      <c r="E402" s="359"/>
      <c r="F402" s="359"/>
      <c r="G402" s="360"/>
      <c r="H402" s="361"/>
      <c r="I402" s="362"/>
      <c r="J402" s="361"/>
      <c r="K402" s="363"/>
      <c r="L402" s="364"/>
      <c r="M402" s="365"/>
      <c r="N402" s="360"/>
    </row>
    <row r="403" spans="1:14" ht="15.75">
      <c r="A403" s="366">
        <v>1</v>
      </c>
      <c r="B403" s="367" t="s">
        <v>82</v>
      </c>
      <c r="C403" s="332"/>
      <c r="D403" s="332"/>
      <c r="E403" s="332"/>
      <c r="F403" s="332"/>
      <c r="G403" s="368"/>
      <c r="H403" s="330"/>
      <c r="I403" s="369"/>
      <c r="J403" s="330"/>
      <c r="K403" s="370"/>
      <c r="L403" s="307"/>
      <c r="M403" s="371"/>
      <c r="N403" s="368"/>
    </row>
    <row r="404" spans="1:14" ht="15.75">
      <c r="A404" s="366"/>
      <c r="B404" s="367" t="s">
        <v>83</v>
      </c>
      <c r="C404" s="332"/>
      <c r="D404" s="332"/>
      <c r="E404" s="332"/>
      <c r="F404" s="332"/>
      <c r="G404" s="368"/>
      <c r="H404" s="372"/>
      <c r="I404" s="369"/>
      <c r="J404" s="330"/>
      <c r="K404" s="370"/>
      <c r="L404" s="1300"/>
      <c r="M404" s="371"/>
      <c r="N404" s="368"/>
    </row>
    <row r="405" spans="1:14" ht="15">
      <c r="A405" s="373">
        <v>1</v>
      </c>
      <c r="B405" s="2331" t="s">
        <v>936</v>
      </c>
      <c r="C405" s="2332"/>
      <c r="D405" s="2332"/>
      <c r="E405" s="2332"/>
      <c r="F405" s="2332"/>
      <c r="G405" s="2333"/>
      <c r="H405" s="374"/>
      <c r="I405" s="369"/>
      <c r="J405" s="330"/>
      <c r="K405" s="370"/>
      <c r="L405" s="1300"/>
      <c r="M405" s="371"/>
      <c r="N405" s="368"/>
    </row>
    <row r="406" spans="1:14" ht="15.75">
      <c r="A406" s="375"/>
      <c r="B406" s="2331"/>
      <c r="C406" s="2332"/>
      <c r="D406" s="2332"/>
      <c r="E406" s="2332"/>
      <c r="F406" s="2332"/>
      <c r="G406" s="2333"/>
      <c r="H406" s="374">
        <v>1.2</v>
      </c>
      <c r="I406" s="369" t="s">
        <v>937</v>
      </c>
      <c r="J406" s="376">
        <f>J23</f>
        <v>0.47</v>
      </c>
      <c r="K406" s="377">
        <f>K23</f>
        <v>0.47</v>
      </c>
      <c r="L406" s="1301">
        <f>L23</f>
        <v>0</v>
      </c>
      <c r="M406" s="378">
        <f>J406+L406</f>
        <v>0.47</v>
      </c>
      <c r="N406" s="379">
        <f>K406+L406</f>
        <v>0.47</v>
      </c>
    </row>
    <row r="407" spans="1:14" ht="15">
      <c r="A407" s="375"/>
      <c r="B407" s="2331"/>
      <c r="C407" s="2332"/>
      <c r="D407" s="2332"/>
      <c r="E407" s="2332"/>
      <c r="F407" s="2332"/>
      <c r="G407" s="2333"/>
      <c r="H407" s="374"/>
      <c r="I407" s="369" t="s">
        <v>938</v>
      </c>
      <c r="J407" s="330"/>
      <c r="K407" s="370"/>
      <c r="L407" s="1300"/>
      <c r="M407" s="380"/>
      <c r="N407" s="368"/>
    </row>
    <row r="408" spans="1:14" ht="15">
      <c r="A408" s="375"/>
      <c r="B408" s="2331"/>
      <c r="C408" s="2332"/>
      <c r="D408" s="2332"/>
      <c r="E408" s="2332"/>
      <c r="F408" s="2332"/>
      <c r="G408" s="2333"/>
      <c r="H408" s="374"/>
      <c r="I408" s="369"/>
      <c r="J408" s="330"/>
      <c r="K408" s="370"/>
      <c r="L408" s="1300"/>
      <c r="M408" s="380"/>
      <c r="N408" s="368"/>
    </row>
    <row r="409" spans="1:14" ht="20.25" customHeight="1">
      <c r="A409" s="375"/>
      <c r="B409" s="2331"/>
      <c r="C409" s="2332"/>
      <c r="D409" s="2332"/>
      <c r="E409" s="2332"/>
      <c r="F409" s="2332"/>
      <c r="G409" s="2333"/>
      <c r="H409" s="374"/>
      <c r="I409" s="369"/>
      <c r="J409" s="330"/>
      <c r="K409" s="370"/>
      <c r="L409" s="1300"/>
      <c r="M409" s="380"/>
      <c r="N409" s="368"/>
    </row>
    <row r="410" spans="1:14" ht="15.75">
      <c r="A410" s="375">
        <v>3</v>
      </c>
      <c r="B410" s="2331" t="s">
        <v>941</v>
      </c>
      <c r="C410" s="2332"/>
      <c r="D410" s="2332"/>
      <c r="E410" s="2332"/>
      <c r="F410" s="2332"/>
      <c r="G410" s="2333"/>
      <c r="H410" s="381">
        <v>1.5</v>
      </c>
      <c r="I410" s="369" t="s">
        <v>873</v>
      </c>
      <c r="J410" s="376">
        <f>J31</f>
        <v>0.31</v>
      </c>
      <c r="K410" s="377">
        <f>K31</f>
        <v>0.31</v>
      </c>
      <c r="L410" s="1301">
        <f>L430</f>
        <v>0.0826</v>
      </c>
      <c r="M410" s="378">
        <f>J410+L410</f>
        <v>0.3926</v>
      </c>
      <c r="N410" s="495">
        <f>K410+L410</f>
        <v>0.3926</v>
      </c>
    </row>
    <row r="411" spans="1:14" ht="15.75">
      <c r="A411" s="375"/>
      <c r="B411" s="2331"/>
      <c r="C411" s="2332"/>
      <c r="D411" s="2332"/>
      <c r="E411" s="2332"/>
      <c r="F411" s="2332"/>
      <c r="G411" s="2333"/>
      <c r="H411" s="381"/>
      <c r="I411" s="369"/>
      <c r="J411" s="376"/>
      <c r="K411" s="377"/>
      <c r="L411" s="1301"/>
      <c r="M411" s="378"/>
      <c r="N411" s="379"/>
    </row>
    <row r="412" spans="1:14" ht="15.75">
      <c r="A412" s="373">
        <v>4</v>
      </c>
      <c r="B412" s="382" t="s">
        <v>82</v>
      </c>
      <c r="C412" s="329"/>
      <c r="D412" s="329"/>
      <c r="E412" s="329"/>
      <c r="F412" s="329"/>
      <c r="G412" s="368"/>
      <c r="H412" s="381"/>
      <c r="I412" s="369"/>
      <c r="J412" s="127"/>
      <c r="K412" s="383"/>
      <c r="L412" s="1302"/>
      <c r="M412" s="383"/>
      <c r="N412" s="384"/>
    </row>
    <row r="413" spans="1:14" ht="15.75">
      <c r="A413" s="373"/>
      <c r="B413" s="382" t="s">
        <v>83</v>
      </c>
      <c r="C413" s="329"/>
      <c r="D413" s="329"/>
      <c r="E413" s="329"/>
      <c r="F413" s="329"/>
      <c r="G413" s="368"/>
      <c r="H413" s="381"/>
      <c r="I413" s="369"/>
      <c r="J413" s="127"/>
      <c r="K413" s="383"/>
      <c r="L413" s="1302"/>
      <c r="M413" s="383"/>
      <c r="N413" s="384"/>
    </row>
    <row r="414" spans="1:14" ht="15.75">
      <c r="A414" s="373"/>
      <c r="B414" s="382"/>
      <c r="C414" s="329"/>
      <c r="D414" s="329"/>
      <c r="E414" s="329"/>
      <c r="F414" s="329"/>
      <c r="G414" s="385" t="str">
        <f>H94</f>
        <v>ТТГ</v>
      </c>
      <c r="H414" s="381" t="s">
        <v>84</v>
      </c>
      <c r="I414" s="386" t="s">
        <v>945</v>
      </c>
      <c r="J414" s="387">
        <f>J94</f>
        <v>0.94</v>
      </c>
      <c r="K414" s="377" t="s">
        <v>622</v>
      </c>
      <c r="L414" s="1301">
        <f>L166</f>
        <v>3.272</v>
      </c>
      <c r="M414" s="378">
        <f>J414+L414</f>
        <v>4.212</v>
      </c>
      <c r="N414" s="379" t="s">
        <v>622</v>
      </c>
    </row>
    <row r="415" spans="1:14" ht="15.75">
      <c r="A415" s="373"/>
      <c r="B415" s="388"/>
      <c r="C415" s="329"/>
      <c r="D415" s="329"/>
      <c r="E415" s="329"/>
      <c r="F415" s="329"/>
      <c r="G415" s="385" t="str">
        <f>H95</f>
        <v>Т4</v>
      </c>
      <c r="H415" s="381" t="s">
        <v>84</v>
      </c>
      <c r="I415" s="386" t="s">
        <v>945</v>
      </c>
      <c r="J415" s="387">
        <f>J95</f>
        <v>0.94</v>
      </c>
      <c r="K415" s="377" t="s">
        <v>622</v>
      </c>
      <c r="L415" s="1301">
        <f>L167</f>
        <v>3.441</v>
      </c>
      <c r="M415" s="378">
        <f>J415+L415</f>
        <v>4.381</v>
      </c>
      <c r="N415" s="379" t="s">
        <v>622</v>
      </c>
    </row>
    <row r="416" spans="1:14" ht="15.75">
      <c r="A416" s="373"/>
      <c r="B416" s="388"/>
      <c r="C416" s="329"/>
      <c r="D416" s="329"/>
      <c r="E416" s="329"/>
      <c r="F416" s="329"/>
      <c r="G416" s="385" t="str">
        <f>G96</f>
        <v>Анти-ТПО</v>
      </c>
      <c r="H416" s="381" t="s">
        <v>84</v>
      </c>
      <c r="I416" s="386" t="s">
        <v>945</v>
      </c>
      <c r="J416" s="387">
        <f>J96</f>
        <v>0.94</v>
      </c>
      <c r="K416" s="377" t="s">
        <v>622</v>
      </c>
      <c r="L416" s="1301">
        <f>L168</f>
        <v>3.4372</v>
      </c>
      <c r="M416" s="378">
        <f>J416+L416</f>
        <v>4.3772</v>
      </c>
      <c r="N416" s="379" t="s">
        <v>622</v>
      </c>
    </row>
    <row r="417" spans="1:14" ht="15.75" hidden="1">
      <c r="A417" s="373"/>
      <c r="B417" s="388"/>
      <c r="C417" s="329"/>
      <c r="D417" s="329"/>
      <c r="E417" s="329"/>
      <c r="F417" s="329"/>
      <c r="G417" s="385" t="s">
        <v>54</v>
      </c>
      <c r="H417" s="381" t="s">
        <v>84</v>
      </c>
      <c r="I417" s="386" t="s">
        <v>945</v>
      </c>
      <c r="J417" s="376">
        <f>J169</f>
        <v>0.94</v>
      </c>
      <c r="K417" s="377" t="s">
        <v>622</v>
      </c>
      <c r="L417" s="1301">
        <f>L169</f>
        <v>3.5332</v>
      </c>
      <c r="M417" s="378">
        <f>J417+L417</f>
        <v>4.4732</v>
      </c>
      <c r="N417" s="379" t="s">
        <v>622</v>
      </c>
    </row>
    <row r="418" spans="1:14" ht="12.75">
      <c r="A418" s="373"/>
      <c r="B418" s="388"/>
      <c r="C418" s="329"/>
      <c r="D418" s="329"/>
      <c r="E418" s="329"/>
      <c r="F418" s="329"/>
      <c r="G418" s="368"/>
      <c r="H418" s="381"/>
      <c r="I418" s="369"/>
      <c r="J418" s="329"/>
      <c r="K418" s="389"/>
      <c r="L418" s="1303"/>
      <c r="M418" s="389"/>
      <c r="N418" s="368"/>
    </row>
    <row r="419" spans="1:14" ht="15.75">
      <c r="A419" s="373"/>
      <c r="B419" s="388"/>
      <c r="C419" s="329"/>
      <c r="D419" s="391" t="s">
        <v>919</v>
      </c>
      <c r="E419" s="127"/>
      <c r="F419" s="127"/>
      <c r="G419" s="392" t="str">
        <f>G414</f>
        <v>ТТГ</v>
      </c>
      <c r="H419" s="376"/>
      <c r="I419" s="377"/>
      <c r="J419" s="376">
        <f>SUM(J406:J414)</f>
        <v>1.72</v>
      </c>
      <c r="K419" s="377" t="s">
        <v>622</v>
      </c>
      <c r="L419" s="1301">
        <f>SUM(L406:L414)</f>
        <v>3.3545999999999996</v>
      </c>
      <c r="M419" s="393">
        <f>SUM(M406:M414)</f>
        <v>5.0746</v>
      </c>
      <c r="N419" s="392" t="s">
        <v>622</v>
      </c>
    </row>
    <row r="420" spans="1:14" ht="15.75">
      <c r="A420" s="373"/>
      <c r="B420" s="388"/>
      <c r="C420" s="329"/>
      <c r="D420" s="127"/>
      <c r="E420" s="127"/>
      <c r="F420" s="127"/>
      <c r="G420" s="392" t="str">
        <f>G415</f>
        <v>Т4</v>
      </c>
      <c r="H420" s="376"/>
      <c r="I420" s="377"/>
      <c r="J420" s="376">
        <f>SUM(J406:J415)-J414</f>
        <v>1.7200000000000002</v>
      </c>
      <c r="K420" s="377" t="s">
        <v>622</v>
      </c>
      <c r="L420" s="1301">
        <f>SUM(L406:L415)-L414</f>
        <v>3.5235999999999996</v>
      </c>
      <c r="M420" s="407">
        <f>SUM(M406:M415)-M414</f>
        <v>5.243600000000001</v>
      </c>
      <c r="N420" s="392" t="s">
        <v>622</v>
      </c>
    </row>
    <row r="421" spans="1:14" ht="15.75">
      <c r="A421" s="373"/>
      <c r="B421" s="388"/>
      <c r="C421" s="329"/>
      <c r="D421" s="127"/>
      <c r="E421" s="127"/>
      <c r="F421" s="127"/>
      <c r="G421" s="394" t="str">
        <f>G416</f>
        <v>Анти-ТПО</v>
      </c>
      <c r="H421" s="376"/>
      <c r="I421" s="377"/>
      <c r="J421" s="376">
        <f>SUM(J406:J416)-J414-J415</f>
        <v>1.7200000000000002</v>
      </c>
      <c r="K421" s="377" t="s">
        <v>622</v>
      </c>
      <c r="L421" s="1301">
        <f>SUM(L406:L416)-L414-L415</f>
        <v>3.519799999999999</v>
      </c>
      <c r="M421" s="407">
        <f>SUM(M406:M416)-M414-M415</f>
        <v>5.239800000000001</v>
      </c>
      <c r="N421" s="392" t="s">
        <v>622</v>
      </c>
    </row>
    <row r="422" spans="1:14" ht="15.75" hidden="1">
      <c r="A422" s="347"/>
      <c r="B422" s="395"/>
      <c r="C422" s="396"/>
      <c r="D422" s="397"/>
      <c r="E422" s="397"/>
      <c r="F422" s="397"/>
      <c r="G422" s="398" t="str">
        <f>G417</f>
        <v>Сифилис</v>
      </c>
      <c r="H422" s="399"/>
      <c r="I422" s="400"/>
      <c r="J422" s="399">
        <f>SUM(J406:J417)-J414-J415-J416</f>
        <v>1.7200000000000002</v>
      </c>
      <c r="K422" s="400" t="s">
        <v>622</v>
      </c>
      <c r="L422" s="1304">
        <f>SUM(L406:L417)-L414-L415-L416</f>
        <v>3.6157999999999983</v>
      </c>
      <c r="M422" s="401">
        <f>SUM(M406:M417)-M414-M415-M416</f>
        <v>5.335800000000001</v>
      </c>
      <c r="N422" s="402" t="s">
        <v>622</v>
      </c>
    </row>
    <row r="423" spans="1:14" ht="15.75">
      <c r="A423" s="373"/>
      <c r="B423" s="388"/>
      <c r="C423" s="329"/>
      <c r="D423" s="127"/>
      <c r="E423" s="127"/>
      <c r="F423" s="127"/>
      <c r="G423" s="394"/>
      <c r="H423" s="376"/>
      <c r="I423" s="377"/>
      <c r="J423" s="376"/>
      <c r="K423" s="377"/>
      <c r="L423" s="1301"/>
      <c r="M423" s="393"/>
      <c r="N423" s="392"/>
    </row>
    <row r="424" spans="1:14" ht="15">
      <c r="A424" s="366">
        <v>2</v>
      </c>
      <c r="B424" s="2328" t="s">
        <v>85</v>
      </c>
      <c r="C424" s="2329"/>
      <c r="D424" s="2329"/>
      <c r="E424" s="2329"/>
      <c r="F424" s="2329"/>
      <c r="G424" s="2330"/>
      <c r="H424" s="403"/>
      <c r="I424" s="370"/>
      <c r="J424" s="329"/>
      <c r="K424" s="389"/>
      <c r="L424" s="1303"/>
      <c r="M424" s="389"/>
      <c r="N424" s="368"/>
    </row>
    <row r="425" spans="1:14" ht="18" customHeight="1">
      <c r="A425" s="373"/>
      <c r="B425" s="2328"/>
      <c r="C425" s="2329"/>
      <c r="D425" s="2329"/>
      <c r="E425" s="2329"/>
      <c r="F425" s="2329"/>
      <c r="G425" s="2330"/>
      <c r="H425" s="403"/>
      <c r="I425" s="370"/>
      <c r="J425" s="329"/>
      <c r="K425" s="389"/>
      <c r="L425" s="1303"/>
      <c r="M425" s="389"/>
      <c r="N425" s="368"/>
    </row>
    <row r="426" spans="1:14" ht="15" customHeight="1">
      <c r="A426" s="373">
        <v>1</v>
      </c>
      <c r="B426" s="2331" t="s">
        <v>936</v>
      </c>
      <c r="C426" s="2332"/>
      <c r="D426" s="2332"/>
      <c r="E426" s="2332"/>
      <c r="F426" s="2332"/>
      <c r="G426" s="2333"/>
      <c r="H426" s="374"/>
      <c r="I426" s="369"/>
      <c r="J426" s="330"/>
      <c r="K426" s="370"/>
      <c r="L426" s="1300"/>
      <c r="M426" s="371"/>
      <c r="N426" s="368"/>
    </row>
    <row r="427" spans="1:14" ht="15" customHeight="1">
      <c r="A427" s="375"/>
      <c r="B427" s="2331"/>
      <c r="C427" s="2332"/>
      <c r="D427" s="2332"/>
      <c r="E427" s="2332"/>
      <c r="F427" s="2332"/>
      <c r="G427" s="2333"/>
      <c r="H427" s="374">
        <v>1.2</v>
      </c>
      <c r="I427" s="369" t="s">
        <v>937</v>
      </c>
      <c r="J427" s="376">
        <f>J23</f>
        <v>0.47</v>
      </c>
      <c r="K427" s="377">
        <f>K23</f>
        <v>0.47</v>
      </c>
      <c r="L427" s="1301">
        <f>L23</f>
        <v>0</v>
      </c>
      <c r="M427" s="378">
        <f>J427+L427</f>
        <v>0.47</v>
      </c>
      <c r="N427" s="379">
        <f>K427+L427</f>
        <v>0.47</v>
      </c>
    </row>
    <row r="428" spans="1:14" ht="15" customHeight="1">
      <c r="A428" s="375"/>
      <c r="B428" s="2331"/>
      <c r="C428" s="2332"/>
      <c r="D428" s="2332"/>
      <c r="E428" s="2332"/>
      <c r="F428" s="2332"/>
      <c r="G428" s="2333"/>
      <c r="H428" s="374"/>
      <c r="I428" s="369" t="s">
        <v>938</v>
      </c>
      <c r="J428" s="376"/>
      <c r="K428" s="377"/>
      <c r="L428" s="1301"/>
      <c r="M428" s="378"/>
      <c r="N428" s="384"/>
    </row>
    <row r="429" spans="1:14" ht="15" customHeight="1">
      <c r="A429" s="375"/>
      <c r="B429" s="2331"/>
      <c r="C429" s="2332"/>
      <c r="D429" s="2332"/>
      <c r="E429" s="2332"/>
      <c r="F429" s="2332"/>
      <c r="G429" s="2333"/>
      <c r="H429" s="374"/>
      <c r="I429" s="369"/>
      <c r="J429" s="376"/>
      <c r="K429" s="377"/>
      <c r="L429" s="1301"/>
      <c r="M429" s="378"/>
      <c r="N429" s="384"/>
    </row>
    <row r="430" spans="1:14" ht="15" customHeight="1">
      <c r="A430" s="375">
        <v>3</v>
      </c>
      <c r="B430" s="2331" t="s">
        <v>941</v>
      </c>
      <c r="C430" s="2332"/>
      <c r="D430" s="2332"/>
      <c r="E430" s="2332"/>
      <c r="F430" s="2332"/>
      <c r="G430" s="2333"/>
      <c r="H430" s="381">
        <v>1.5</v>
      </c>
      <c r="I430" s="369" t="s">
        <v>873</v>
      </c>
      <c r="J430" s="376">
        <f>J31</f>
        <v>0.31</v>
      </c>
      <c r="K430" s="377">
        <f>K31</f>
        <v>0.31</v>
      </c>
      <c r="L430" s="1301">
        <f>L276</f>
        <v>0.0826</v>
      </c>
      <c r="M430" s="378">
        <f>J430+L430</f>
        <v>0.3926</v>
      </c>
      <c r="N430" s="495">
        <f>K430+L430</f>
        <v>0.3926</v>
      </c>
    </row>
    <row r="431" spans="1:14" ht="15" customHeight="1">
      <c r="A431" s="375"/>
      <c r="B431" s="2331"/>
      <c r="C431" s="2332"/>
      <c r="D431" s="2332"/>
      <c r="E431" s="2332"/>
      <c r="F431" s="2332"/>
      <c r="G431" s="2333"/>
      <c r="H431" s="381"/>
      <c r="I431" s="369"/>
      <c r="J431" s="376"/>
      <c r="K431" s="377"/>
      <c r="L431" s="1301"/>
      <c r="M431" s="378"/>
      <c r="N431" s="379"/>
    </row>
    <row r="432" spans="1:14" ht="15" customHeight="1">
      <c r="A432" s="375">
        <v>4</v>
      </c>
      <c r="B432" s="2331" t="s">
        <v>86</v>
      </c>
      <c r="C432" s="2332"/>
      <c r="D432" s="2332"/>
      <c r="E432" s="2332"/>
      <c r="F432" s="2332"/>
      <c r="G432" s="2333"/>
      <c r="H432" s="381"/>
      <c r="I432" s="369"/>
      <c r="J432" s="376"/>
      <c r="K432" s="377"/>
      <c r="L432" s="1301"/>
      <c r="M432" s="378"/>
      <c r="N432" s="379"/>
    </row>
    <row r="433" spans="1:14" ht="15" customHeight="1">
      <c r="A433" s="375"/>
      <c r="B433" s="2331"/>
      <c r="C433" s="2332"/>
      <c r="D433" s="2332"/>
      <c r="E433" s="2332"/>
      <c r="F433" s="2332"/>
      <c r="G433" s="2333"/>
      <c r="H433" s="381"/>
      <c r="I433" s="369"/>
      <c r="J433" s="376"/>
      <c r="K433" s="377"/>
      <c r="L433" s="1301"/>
      <c r="M433" s="378"/>
      <c r="N433" s="379"/>
    </row>
    <row r="434" spans="1:14" ht="15" customHeight="1">
      <c r="A434" s="373"/>
      <c r="B434" s="404"/>
      <c r="C434" s="405"/>
      <c r="D434" s="405"/>
      <c r="E434" s="405"/>
      <c r="F434" s="2334" t="s">
        <v>156</v>
      </c>
      <c r="G434" s="2335"/>
      <c r="H434" s="381" t="s">
        <v>87</v>
      </c>
      <c r="I434" s="386" t="s">
        <v>945</v>
      </c>
      <c r="J434" s="387">
        <f>J99</f>
        <v>2.06</v>
      </c>
      <c r="K434" s="377" t="s">
        <v>622</v>
      </c>
      <c r="L434" s="1301">
        <f>L186</f>
        <v>3.343</v>
      </c>
      <c r="M434" s="378">
        <f>J434+L434</f>
        <v>5.4030000000000005</v>
      </c>
      <c r="N434" s="377" t="s">
        <v>622</v>
      </c>
    </row>
    <row r="435" spans="1:14" ht="15" customHeight="1">
      <c r="A435" s="373"/>
      <c r="B435" s="404"/>
      <c r="C435" s="405"/>
      <c r="D435" s="405"/>
      <c r="E435" s="405"/>
      <c r="F435" s="2334" t="s">
        <v>157</v>
      </c>
      <c r="G435" s="2335"/>
      <c r="H435" s="381" t="s">
        <v>87</v>
      </c>
      <c r="I435" s="386" t="s">
        <v>945</v>
      </c>
      <c r="J435" s="387">
        <f>J100</f>
        <v>2.06</v>
      </c>
      <c r="K435" s="377" t="s">
        <v>622</v>
      </c>
      <c r="L435" s="1301">
        <f>L187</f>
        <v>9.8866</v>
      </c>
      <c r="M435" s="378">
        <f>J435+L435</f>
        <v>11.9466</v>
      </c>
      <c r="N435" s="377" t="s">
        <v>622</v>
      </c>
    </row>
    <row r="436" spans="1:14" ht="15" customHeight="1">
      <c r="A436" s="373"/>
      <c r="B436" s="404"/>
      <c r="C436" s="405"/>
      <c r="D436" s="405"/>
      <c r="E436" s="405"/>
      <c r="F436" s="2334" t="str">
        <f>F192</f>
        <v>СА 19-9</v>
      </c>
      <c r="G436" s="2335"/>
      <c r="H436" s="381" t="s">
        <v>87</v>
      </c>
      <c r="I436" s="386" t="s">
        <v>945</v>
      </c>
      <c r="J436" s="387">
        <f>J101</f>
        <v>2.06</v>
      </c>
      <c r="K436" s="377" t="s">
        <v>622</v>
      </c>
      <c r="L436" s="1301">
        <f>L188</f>
        <v>11.5797</v>
      </c>
      <c r="M436" s="378">
        <f>J436+L436</f>
        <v>13.639700000000001</v>
      </c>
      <c r="N436" s="379"/>
    </row>
    <row r="437" spans="1:14" ht="15" customHeight="1">
      <c r="A437" s="373"/>
      <c r="B437" s="404"/>
      <c r="C437" s="405"/>
      <c r="D437" s="405"/>
      <c r="E437" s="405"/>
      <c r="F437" s="405"/>
      <c r="G437" s="406"/>
      <c r="H437" s="374"/>
      <c r="I437" s="370"/>
      <c r="J437" s="127"/>
      <c r="K437" s="383"/>
      <c r="L437" s="1302"/>
      <c r="M437" s="383"/>
      <c r="N437" s="384"/>
    </row>
    <row r="438" spans="1:28" s="653" customFormat="1" ht="15.75">
      <c r="A438" s="690"/>
      <c r="B438" s="691"/>
      <c r="C438" s="692"/>
      <c r="D438" s="693" t="s">
        <v>919</v>
      </c>
      <c r="E438" s="694"/>
      <c r="F438" s="2339" t="s">
        <v>156</v>
      </c>
      <c r="G438" s="2340"/>
      <c r="H438" s="695"/>
      <c r="I438" s="696" t="s">
        <v>945</v>
      </c>
      <c r="J438" s="697">
        <f>SUM(J427:J434)</f>
        <v>2.84</v>
      </c>
      <c r="K438" s="698" t="s">
        <v>622</v>
      </c>
      <c r="L438" s="1305">
        <f>SUM(L427:L434)</f>
        <v>3.4256</v>
      </c>
      <c r="M438" s="699">
        <f>SUM(M427:M434)</f>
        <v>6.265600000000001</v>
      </c>
      <c r="N438" s="698" t="s">
        <v>622</v>
      </c>
      <c r="R438" s="2565"/>
      <c r="S438" s="2565"/>
      <c r="T438" s="2565"/>
      <c r="U438" s="2565"/>
      <c r="V438" s="2565"/>
      <c r="W438" s="2565"/>
      <c r="X438" s="2565"/>
      <c r="Y438" s="2565"/>
      <c r="Z438" s="2565"/>
      <c r="AA438" s="2565"/>
      <c r="AB438" s="2565"/>
    </row>
    <row r="439" spans="1:28" s="653" customFormat="1" ht="15.75">
      <c r="A439" s="690"/>
      <c r="B439" s="700"/>
      <c r="C439" s="660"/>
      <c r="D439" s="660"/>
      <c r="E439" s="660"/>
      <c r="F439" s="2339" t="s">
        <v>157</v>
      </c>
      <c r="G439" s="2340"/>
      <c r="H439" s="660"/>
      <c r="I439" s="696" t="s">
        <v>945</v>
      </c>
      <c r="J439" s="701">
        <f>SUM(J427:J435)-J434</f>
        <v>2.8400000000000003</v>
      </c>
      <c r="K439" s="698" t="s">
        <v>622</v>
      </c>
      <c r="L439" s="1305">
        <f>SUM(L427:L435)-L434</f>
        <v>9.9692</v>
      </c>
      <c r="M439" s="699">
        <f>SUM(M427:M435)-M434</f>
        <v>12.809200000000002</v>
      </c>
      <c r="N439" s="698" t="s">
        <v>622</v>
      </c>
      <c r="R439" s="2565"/>
      <c r="S439" s="2565"/>
      <c r="T439" s="2565"/>
      <c r="U439" s="2565"/>
      <c r="V439" s="2565"/>
      <c r="W439" s="2565"/>
      <c r="X439" s="2565"/>
      <c r="Y439" s="2565"/>
      <c r="Z439" s="2565"/>
      <c r="AA439" s="2565"/>
      <c r="AB439" s="2565"/>
    </row>
    <row r="440" spans="1:28" s="653" customFormat="1" ht="15.75">
      <c r="A440" s="702"/>
      <c r="B440" s="703"/>
      <c r="C440" s="704"/>
      <c r="D440" s="704"/>
      <c r="E440" s="704"/>
      <c r="F440" s="705"/>
      <c r="G440" s="706" t="str">
        <f>F436</f>
        <v>СА 19-9</v>
      </c>
      <c r="H440" s="704"/>
      <c r="I440" s="707" t="s">
        <v>945</v>
      </c>
      <c r="J440" s="708">
        <f>SUM(J427:J433)+J436</f>
        <v>2.84</v>
      </c>
      <c r="K440" s="709"/>
      <c r="L440" s="1306">
        <f>SUM(L427:L433)+L436</f>
        <v>11.6623</v>
      </c>
      <c r="M440" s="710">
        <f>SUM(M427:M433)+M436</f>
        <v>14.502300000000002</v>
      </c>
      <c r="N440" s="711"/>
      <c r="R440" s="2565"/>
      <c r="S440" s="2565"/>
      <c r="T440" s="2565"/>
      <c r="U440" s="2565"/>
      <c r="V440" s="2565"/>
      <c r="W440" s="2565"/>
      <c r="X440" s="2565"/>
      <c r="Y440" s="2565"/>
      <c r="Z440" s="2565"/>
      <c r="AA440" s="2565"/>
      <c r="AB440" s="2565"/>
    </row>
    <row r="441" spans="1:14" ht="12.75">
      <c r="A441" s="328"/>
      <c r="B441" s="329"/>
      <c r="C441" s="329"/>
      <c r="D441" s="329"/>
      <c r="E441" s="329"/>
      <c r="F441" s="329"/>
      <c r="G441" s="329"/>
      <c r="H441" s="329"/>
      <c r="I441" s="330"/>
      <c r="J441" s="331"/>
      <c r="K441" s="331"/>
      <c r="M441" s="331"/>
      <c r="N441" s="331"/>
    </row>
    <row r="442" spans="1:14" ht="12.75">
      <c r="A442" s="328"/>
      <c r="B442" s="329"/>
      <c r="C442" s="329"/>
      <c r="D442" s="329"/>
      <c r="E442" s="329"/>
      <c r="F442" s="329"/>
      <c r="G442" s="329"/>
      <c r="H442" s="329"/>
      <c r="I442" s="330"/>
      <c r="J442" s="331"/>
      <c r="K442" s="331"/>
      <c r="M442" s="331"/>
      <c r="N442" s="331"/>
    </row>
    <row r="443" spans="1:28" s="165" customFormat="1" ht="15.75" hidden="1">
      <c r="A443" s="408" t="s">
        <v>831</v>
      </c>
      <c r="B443" s="127"/>
      <c r="C443" s="127"/>
      <c r="D443" s="127"/>
      <c r="E443" s="127"/>
      <c r="F443" s="127"/>
      <c r="G443" s="127"/>
      <c r="H443" s="127"/>
      <c r="I443" s="376"/>
      <c r="J443" s="409"/>
      <c r="K443" s="409"/>
      <c r="L443" s="127"/>
      <c r="M443" s="410" t="s">
        <v>832</v>
      </c>
      <c r="R443" s="2575"/>
      <c r="S443" s="2575"/>
      <c r="T443" s="2575"/>
      <c r="U443" s="2575"/>
      <c r="V443" s="2575"/>
      <c r="W443" s="2575"/>
      <c r="X443" s="2575"/>
      <c r="Y443" s="2575"/>
      <c r="Z443" s="2575"/>
      <c r="AA443" s="2575"/>
      <c r="AB443" s="2575"/>
    </row>
    <row r="444" spans="1:14" ht="12.75" hidden="1">
      <c r="A444" s="411"/>
      <c r="B444" s="329"/>
      <c r="C444" s="329"/>
      <c r="D444" s="329"/>
      <c r="E444" s="329"/>
      <c r="F444" s="329"/>
      <c r="G444" s="329"/>
      <c r="H444" s="329"/>
      <c r="I444" s="330"/>
      <c r="J444" s="331"/>
      <c r="K444" s="331"/>
      <c r="L444" s="390"/>
      <c r="M444" s="329"/>
      <c r="N444" s="331"/>
    </row>
    <row r="445" spans="1:14" ht="15.75">
      <c r="A445" s="325"/>
      <c r="B445" s="329"/>
      <c r="C445" s="329"/>
      <c r="D445" s="329"/>
      <c r="E445" s="329"/>
      <c r="F445" s="329"/>
      <c r="G445" s="329"/>
      <c r="H445" s="329"/>
      <c r="I445" s="330"/>
      <c r="J445" s="331"/>
      <c r="K445" s="331"/>
      <c r="L445" s="327"/>
      <c r="M445" s="329"/>
      <c r="N445" s="331"/>
    </row>
    <row r="446" spans="2:14" ht="15.75">
      <c r="B446" s="325"/>
      <c r="C446" s="325"/>
      <c r="D446" s="325"/>
      <c r="E446" s="325"/>
      <c r="F446" s="325"/>
      <c r="G446" s="325"/>
      <c r="H446" s="325"/>
      <c r="I446" s="325"/>
      <c r="J446" s="326"/>
      <c r="K446" s="325"/>
      <c r="M446" s="326"/>
      <c r="N446" s="331"/>
    </row>
    <row r="447" spans="1:14" ht="12.75">
      <c r="A447" s="411"/>
      <c r="B447" s="329"/>
      <c r="C447" s="329"/>
      <c r="D447" s="329"/>
      <c r="E447" s="329"/>
      <c r="F447" s="329"/>
      <c r="G447" s="329"/>
      <c r="H447" s="329"/>
      <c r="I447" s="330"/>
      <c r="J447" s="331"/>
      <c r="K447" s="331"/>
      <c r="L447" s="390"/>
      <c r="M447" s="329"/>
      <c r="N447" s="331"/>
    </row>
    <row r="448" spans="1:14" ht="12.75">
      <c r="A448" s="411"/>
      <c r="B448" s="329"/>
      <c r="C448" s="329"/>
      <c r="D448" s="329"/>
      <c r="E448" s="329"/>
      <c r="F448" s="329"/>
      <c r="G448" s="329"/>
      <c r="H448" s="329"/>
      <c r="I448" s="330"/>
      <c r="J448" s="331"/>
      <c r="K448" s="331"/>
      <c r="L448" s="390"/>
      <c r="M448" s="329"/>
      <c r="N448" s="331"/>
    </row>
    <row r="449" spans="1:14" ht="12.75">
      <c r="A449" s="411"/>
      <c r="B449" s="329"/>
      <c r="C449" s="329"/>
      <c r="D449" s="329"/>
      <c r="E449" s="329"/>
      <c r="F449" s="329"/>
      <c r="G449" s="329"/>
      <c r="H449" s="329"/>
      <c r="I449" s="330"/>
      <c r="J449" s="331"/>
      <c r="K449" s="331"/>
      <c r="L449" s="390"/>
      <c r="M449" s="329"/>
      <c r="N449" s="331"/>
    </row>
    <row r="450" spans="1:14" ht="12.75">
      <c r="A450" s="411"/>
      <c r="B450" s="329"/>
      <c r="C450" s="329"/>
      <c r="D450" s="329"/>
      <c r="E450" s="329"/>
      <c r="F450" s="329"/>
      <c r="G450" s="329"/>
      <c r="H450" s="329"/>
      <c r="I450" s="330"/>
      <c r="J450" s="331"/>
      <c r="K450" s="331"/>
      <c r="L450" s="390"/>
      <c r="M450" s="329"/>
      <c r="N450" s="331"/>
    </row>
    <row r="451" spans="1:14" ht="12.75">
      <c r="A451" s="411"/>
      <c r="B451" s="329"/>
      <c r="C451" s="329"/>
      <c r="D451" s="329"/>
      <c r="E451" s="329"/>
      <c r="F451" s="329"/>
      <c r="G451" s="329"/>
      <c r="H451" s="329"/>
      <c r="I451" s="330"/>
      <c r="J451" s="331"/>
      <c r="K451" s="331"/>
      <c r="L451" s="390"/>
      <c r="M451" s="329"/>
      <c r="N451" s="331"/>
    </row>
    <row r="452" spans="1:14" ht="12.75">
      <c r="A452" s="411"/>
      <c r="B452" s="329"/>
      <c r="C452" s="329"/>
      <c r="D452" s="329"/>
      <c r="E452" s="329"/>
      <c r="F452" s="329"/>
      <c r="G452" s="329"/>
      <c r="H452" s="329"/>
      <c r="I452" s="330"/>
      <c r="J452" s="331"/>
      <c r="K452" s="331"/>
      <c r="L452" s="390"/>
      <c r="M452" s="329"/>
      <c r="N452" s="331"/>
    </row>
    <row r="453" spans="1:14" ht="12.75">
      <c r="A453" s="411"/>
      <c r="B453" s="329"/>
      <c r="C453" s="329"/>
      <c r="D453" s="329"/>
      <c r="E453" s="329"/>
      <c r="F453" s="329"/>
      <c r="G453" s="329"/>
      <c r="H453" s="329"/>
      <c r="I453" s="330"/>
      <c r="J453" s="331"/>
      <c r="K453" s="331"/>
      <c r="L453" s="390"/>
      <c r="M453" s="329"/>
      <c r="N453" s="331"/>
    </row>
    <row r="454" spans="1:14" ht="12.75">
      <c r="A454" s="411"/>
      <c r="B454" s="329"/>
      <c r="C454" s="329"/>
      <c r="D454" s="329"/>
      <c r="E454" s="329"/>
      <c r="F454" s="329"/>
      <c r="G454" s="329"/>
      <c r="H454" s="329"/>
      <c r="I454" s="330"/>
      <c r="J454" s="331"/>
      <c r="K454" s="331"/>
      <c r="L454" s="390"/>
      <c r="M454" s="329"/>
      <c r="N454" s="331"/>
    </row>
    <row r="455" spans="1:14" ht="12.75">
      <c r="A455" s="411"/>
      <c r="B455" s="329"/>
      <c r="C455" s="329"/>
      <c r="D455" s="329"/>
      <c r="E455" s="329"/>
      <c r="F455" s="329"/>
      <c r="G455" s="329"/>
      <c r="H455" s="329"/>
      <c r="I455" s="330"/>
      <c r="J455" s="331"/>
      <c r="K455" s="331"/>
      <c r="L455" s="390"/>
      <c r="M455" s="329"/>
      <c r="N455" s="331"/>
    </row>
    <row r="456" spans="1:14" ht="12.75">
      <c r="A456" s="411"/>
      <c r="B456" s="329"/>
      <c r="C456" s="329"/>
      <c r="D456" s="329"/>
      <c r="E456" s="329"/>
      <c r="F456" s="329"/>
      <c r="G456" s="329"/>
      <c r="H456" s="329"/>
      <c r="I456" s="330"/>
      <c r="J456" s="331"/>
      <c r="K456" s="331"/>
      <c r="L456" s="390"/>
      <c r="M456" s="329"/>
      <c r="N456" s="331"/>
    </row>
    <row r="457" spans="1:14" ht="12.75">
      <c r="A457" s="411"/>
      <c r="B457" s="329"/>
      <c r="C457" s="329"/>
      <c r="D457" s="329"/>
      <c r="E457" s="329"/>
      <c r="F457" s="329"/>
      <c r="G457" s="329"/>
      <c r="H457" s="329"/>
      <c r="I457" s="330"/>
      <c r="J457" s="331"/>
      <c r="K457" s="331"/>
      <c r="L457" s="390"/>
      <c r="M457" s="329"/>
      <c r="N457" s="331"/>
    </row>
    <row r="458" spans="1:14" ht="12.75">
      <c r="A458" s="411"/>
      <c r="B458" s="329"/>
      <c r="C458" s="329"/>
      <c r="D458" s="329"/>
      <c r="E458" s="329"/>
      <c r="F458" s="329"/>
      <c r="G458" s="329"/>
      <c r="H458" s="329"/>
      <c r="I458" s="330"/>
      <c r="J458" s="331"/>
      <c r="K458" s="331"/>
      <c r="L458" s="390"/>
      <c r="M458" s="329"/>
      <c r="N458" s="331"/>
    </row>
    <row r="459" spans="1:14" ht="12.75">
      <c r="A459" s="411"/>
      <c r="B459" s="329"/>
      <c r="C459" s="329"/>
      <c r="D459" s="329"/>
      <c r="E459" s="329"/>
      <c r="F459" s="329"/>
      <c r="G459" s="329"/>
      <c r="H459" s="329"/>
      <c r="I459" s="330"/>
      <c r="J459" s="331"/>
      <c r="K459" s="331"/>
      <c r="L459" s="390"/>
      <c r="M459" s="329"/>
      <c r="N459" s="331"/>
    </row>
    <row r="460" spans="1:14" ht="12.75">
      <c r="A460" s="411"/>
      <c r="B460" s="329"/>
      <c r="C460" s="329"/>
      <c r="D460" s="329"/>
      <c r="E460" s="329"/>
      <c r="F460" s="329"/>
      <c r="G460" s="329"/>
      <c r="H460" s="329"/>
      <c r="I460" s="330"/>
      <c r="J460" s="331"/>
      <c r="K460" s="331"/>
      <c r="L460" s="390"/>
      <c r="M460" s="329"/>
      <c r="N460" s="331"/>
    </row>
    <row r="461" spans="1:14" ht="12.75">
      <c r="A461" s="411"/>
      <c r="B461" s="329"/>
      <c r="C461" s="329"/>
      <c r="D461" s="329"/>
      <c r="E461" s="329"/>
      <c r="F461" s="329"/>
      <c r="G461" s="329"/>
      <c r="H461" s="329"/>
      <c r="I461" s="330"/>
      <c r="J461" s="331"/>
      <c r="K461" s="331"/>
      <c r="L461" s="390"/>
      <c r="M461" s="329"/>
      <c r="N461" s="331"/>
    </row>
    <row r="462" spans="1:14" ht="12.75">
      <c r="A462" s="411"/>
      <c r="B462" s="329"/>
      <c r="C462" s="329"/>
      <c r="D462" s="329"/>
      <c r="E462" s="329"/>
      <c r="F462" s="329"/>
      <c r="G462" s="329"/>
      <c r="H462" s="329"/>
      <c r="I462" s="330"/>
      <c r="J462" s="331"/>
      <c r="K462" s="331"/>
      <c r="L462" s="390"/>
      <c r="M462" s="329"/>
      <c r="N462" s="331"/>
    </row>
    <row r="463" spans="1:14" ht="12.75">
      <c r="A463" s="411"/>
      <c r="B463" s="329"/>
      <c r="C463" s="329"/>
      <c r="D463" s="329"/>
      <c r="E463" s="329"/>
      <c r="F463" s="329"/>
      <c r="G463" s="329"/>
      <c r="H463" s="329"/>
      <c r="I463" s="330"/>
      <c r="J463" s="331"/>
      <c r="K463" s="331"/>
      <c r="L463" s="390"/>
      <c r="M463" s="329"/>
      <c r="N463" s="331"/>
    </row>
    <row r="464" spans="1:14" ht="12.75">
      <c r="A464" s="411"/>
      <c r="B464" s="329"/>
      <c r="C464" s="329"/>
      <c r="D464" s="329"/>
      <c r="E464" s="329"/>
      <c r="F464" s="329"/>
      <c r="G464" s="329"/>
      <c r="H464" s="329"/>
      <c r="I464" s="330"/>
      <c r="J464" s="331"/>
      <c r="K464" s="331"/>
      <c r="L464" s="390"/>
      <c r="M464" s="329"/>
      <c r="N464" s="331"/>
    </row>
    <row r="465" spans="1:14" ht="12.75">
      <c r="A465" s="411"/>
      <c r="B465" s="329"/>
      <c r="C465" s="329"/>
      <c r="D465" s="329"/>
      <c r="E465" s="329"/>
      <c r="F465" s="329"/>
      <c r="G465" s="329"/>
      <c r="H465" s="329"/>
      <c r="I465" s="330"/>
      <c r="J465" s="331"/>
      <c r="K465" s="331"/>
      <c r="L465" s="390"/>
      <c r="M465" s="329"/>
      <c r="N465" s="331"/>
    </row>
    <row r="466" spans="1:14" ht="12.75">
      <c r="A466" s="411"/>
      <c r="B466" s="329"/>
      <c r="C466" s="329"/>
      <c r="D466" s="329"/>
      <c r="E466" s="329"/>
      <c r="F466" s="329"/>
      <c r="G466" s="329"/>
      <c r="H466" s="329"/>
      <c r="I466" s="330"/>
      <c r="J466" s="331"/>
      <c r="K466" s="331"/>
      <c r="L466" s="390"/>
      <c r="M466" s="329"/>
      <c r="N466" s="331"/>
    </row>
    <row r="467" spans="1:13" ht="12.75">
      <c r="A467" s="305"/>
      <c r="L467" s="390"/>
      <c r="M467" s="149"/>
    </row>
    <row r="468" spans="1:13" ht="12.75">
      <c r="A468" s="305"/>
      <c r="B468" s="412"/>
      <c r="C468" s="413" t="s">
        <v>102</v>
      </c>
      <c r="D468" s="412"/>
      <c r="L468" s="390"/>
      <c r="M468" s="149"/>
    </row>
    <row r="469" spans="1:13" ht="12.75">
      <c r="A469" s="305"/>
      <c r="L469" s="390"/>
      <c r="M469" s="149"/>
    </row>
    <row r="470" spans="1:13" ht="12.75">
      <c r="A470" s="305"/>
      <c r="L470" s="390"/>
      <c r="M470" s="149"/>
    </row>
    <row r="471" spans="1:16" ht="15.75">
      <c r="A471" s="414"/>
      <c r="B471" s="412"/>
      <c r="C471" s="413"/>
      <c r="D471" s="412"/>
      <c r="E471" s="412"/>
      <c r="F471" s="412"/>
      <c r="G471" s="412"/>
      <c r="H471" s="412"/>
      <c r="I471" s="414"/>
      <c r="J471" s="415"/>
      <c r="K471" s="416"/>
      <c r="L471" s="417"/>
      <c r="M471" s="417"/>
      <c r="N471" s="417" t="str">
        <f>M311</f>
        <v>УТВЕРЖДАЮ</v>
      </c>
      <c r="O471" s="417"/>
      <c r="P471" s="416"/>
    </row>
    <row r="472" spans="1:16" ht="15.75">
      <c r="A472" s="414"/>
      <c r="B472" s="412"/>
      <c r="C472" s="412"/>
      <c r="D472" s="412"/>
      <c r="E472" s="412"/>
      <c r="F472" s="412"/>
      <c r="G472" s="412"/>
      <c r="H472" s="412"/>
      <c r="I472" s="414"/>
      <c r="J472" s="415"/>
      <c r="K472" s="416"/>
      <c r="L472" s="417"/>
      <c r="M472" s="417" t="str">
        <f>N312</f>
        <v>Главный врач Слонимской ЦРБ</v>
      </c>
      <c r="N472" s="417"/>
      <c r="O472" s="417"/>
      <c r="P472" s="418" t="str">
        <f>N2</f>
        <v>Главный врач Слонимской ЦРБ</v>
      </c>
    </row>
    <row r="473" spans="1:16" ht="15.75">
      <c r="A473" s="414"/>
      <c r="B473" s="412"/>
      <c r="C473" s="412"/>
      <c r="D473" s="412"/>
      <c r="E473" s="412"/>
      <c r="F473" s="412"/>
      <c r="G473" s="412"/>
      <c r="H473" s="412"/>
      <c r="I473" s="414"/>
      <c r="J473" s="415"/>
      <c r="K473" s="416"/>
      <c r="L473" s="417"/>
      <c r="M473" s="417" t="str">
        <f>N313</f>
        <v>Г.М. Моисеенкова</v>
      </c>
      <c r="N473" s="417"/>
      <c r="O473" s="417"/>
      <c r="P473" s="418" t="str">
        <f>N3</f>
        <v>Г.М. Моисеенкова</v>
      </c>
    </row>
    <row r="474" spans="1:16" ht="15.75">
      <c r="A474" s="414"/>
      <c r="B474" s="412"/>
      <c r="C474" s="412"/>
      <c r="D474" s="412"/>
      <c r="E474" s="412"/>
      <c r="F474" s="412"/>
      <c r="G474" s="412"/>
      <c r="H474" s="412"/>
      <c r="I474" s="419"/>
      <c r="J474" s="418"/>
      <c r="K474" s="418"/>
      <c r="L474" s="1949">
        <f>L314</f>
        <v>1</v>
      </c>
      <c r="M474" s="1947" t="str">
        <f>M314</f>
        <v>июля</v>
      </c>
      <c r="N474" s="1950" t="str">
        <f>N314</f>
        <v>2017 г.</v>
      </c>
      <c r="O474" s="1665" t="str">
        <f>M4</f>
        <v>июля</v>
      </c>
      <c r="P474" s="418" t="str">
        <f>N4</f>
        <v>2017 г.</v>
      </c>
    </row>
    <row r="475" spans="1:14" ht="15.75">
      <c r="A475" s="414"/>
      <c r="B475" s="412"/>
      <c r="C475" s="412"/>
      <c r="D475" s="412"/>
      <c r="E475" s="412"/>
      <c r="F475" s="412"/>
      <c r="G475" s="412"/>
      <c r="H475" s="412"/>
      <c r="I475" s="419"/>
      <c r="J475" s="415"/>
      <c r="K475" s="416"/>
      <c r="L475" s="416"/>
      <c r="M475" s="416"/>
      <c r="N475" s="416"/>
    </row>
    <row r="476" spans="1:14" ht="12.75">
      <c r="A476" s="414"/>
      <c r="B476" s="412"/>
      <c r="C476" s="412"/>
      <c r="D476" s="412"/>
      <c r="E476" s="412"/>
      <c r="F476" s="412"/>
      <c r="G476" s="412"/>
      <c r="H476" s="412"/>
      <c r="I476" s="419"/>
      <c r="J476" s="415"/>
      <c r="K476" s="414"/>
      <c r="L476" s="414"/>
      <c r="M476" s="414"/>
      <c r="N476" s="414"/>
    </row>
    <row r="477" spans="1:14" ht="12.75">
      <c r="A477" s="414"/>
      <c r="B477" s="412"/>
      <c r="C477" s="412"/>
      <c r="D477" s="412"/>
      <c r="E477" s="412"/>
      <c r="F477" s="412"/>
      <c r="G477" s="412"/>
      <c r="H477" s="412"/>
      <c r="I477" s="419"/>
      <c r="J477" s="415"/>
      <c r="K477" s="414"/>
      <c r="L477" s="414"/>
      <c r="M477" s="414"/>
      <c r="N477" s="414"/>
    </row>
    <row r="478" spans="1:14" ht="19.5">
      <c r="A478" s="420"/>
      <c r="B478" s="412"/>
      <c r="C478" s="412"/>
      <c r="D478" s="412"/>
      <c r="E478" s="412"/>
      <c r="F478" s="412"/>
      <c r="G478" s="421" t="s">
        <v>439</v>
      </c>
      <c r="H478" s="412"/>
      <c r="I478" s="422"/>
      <c r="J478" s="415"/>
      <c r="K478" s="415"/>
      <c r="L478" s="415"/>
      <c r="M478" s="415"/>
      <c r="N478" s="415"/>
    </row>
    <row r="479" spans="1:14" ht="19.5">
      <c r="A479" s="420"/>
      <c r="B479" s="412"/>
      <c r="C479" s="412"/>
      <c r="D479" s="412"/>
      <c r="E479" s="412"/>
      <c r="F479" s="412"/>
      <c r="G479" s="421" t="s">
        <v>98</v>
      </c>
      <c r="H479" s="412"/>
      <c r="I479" s="423"/>
      <c r="J479" s="415"/>
      <c r="K479" s="415"/>
      <c r="L479" s="415"/>
      <c r="M479" s="415"/>
      <c r="N479" s="415"/>
    </row>
    <row r="480" spans="1:14" ht="19.5">
      <c r="A480" s="420"/>
      <c r="B480" s="412"/>
      <c r="C480" s="412"/>
      <c r="D480" s="412"/>
      <c r="E480" s="412"/>
      <c r="F480" s="412"/>
      <c r="G480" s="421" t="s">
        <v>99</v>
      </c>
      <c r="H480" s="412"/>
      <c r="I480" s="423"/>
      <c r="J480" s="415"/>
      <c r="K480" s="415"/>
      <c r="L480" s="415"/>
      <c r="M480" s="415"/>
      <c r="N480" s="415"/>
    </row>
    <row r="481" spans="1:14" ht="15.75">
      <c r="A481" s="420"/>
      <c r="B481" s="412"/>
      <c r="C481" s="412"/>
      <c r="D481" s="412"/>
      <c r="E481" s="412"/>
      <c r="F481" s="412"/>
      <c r="G481" s="424"/>
      <c r="H481" s="412"/>
      <c r="I481" s="423"/>
      <c r="J481" s="415"/>
      <c r="K481" s="415"/>
      <c r="L481" s="415"/>
      <c r="M481" s="415"/>
      <c r="N481" s="415"/>
    </row>
    <row r="482" spans="1:14" ht="15.75">
      <c r="A482" s="420"/>
      <c r="B482" s="425" t="str">
        <f>B320</f>
        <v>На</v>
      </c>
      <c r="C482" s="426" t="str">
        <f>H388</f>
        <v>01.07.2017г.</v>
      </c>
      <c r="D482" s="427"/>
      <c r="E482" s="412"/>
      <c r="F482" s="412"/>
      <c r="G482" s="424"/>
      <c r="H482" s="412"/>
      <c r="I482" s="423"/>
      <c r="J482" s="415"/>
      <c r="K482" s="415"/>
      <c r="L482" s="415"/>
      <c r="M482" s="415"/>
      <c r="N482" s="415"/>
    </row>
    <row r="483" spans="1:14" ht="13.5">
      <c r="A483" s="428"/>
      <c r="B483" s="429"/>
      <c r="C483" s="429"/>
      <c r="D483" s="429"/>
      <c r="E483" s="430"/>
      <c r="F483" s="429"/>
      <c r="G483" s="429"/>
      <c r="H483" s="431"/>
      <c r="I483" s="2312" t="s">
        <v>103</v>
      </c>
      <c r="J483" s="2359" t="s">
        <v>447</v>
      </c>
      <c r="K483" s="2360"/>
      <c r="L483" s="2312" t="s">
        <v>107</v>
      </c>
      <c r="M483" s="2353" t="s">
        <v>443</v>
      </c>
      <c r="N483" s="2354"/>
    </row>
    <row r="484" spans="1:14" ht="12.75" customHeight="1">
      <c r="A484" s="432"/>
      <c r="B484" s="433"/>
      <c r="C484" s="433"/>
      <c r="D484" s="433"/>
      <c r="E484" s="433"/>
      <c r="F484" s="433"/>
      <c r="G484" s="433"/>
      <c r="H484" s="434"/>
      <c r="I484" s="2313"/>
      <c r="J484" s="2363"/>
      <c r="K484" s="2364"/>
      <c r="L484" s="2313"/>
      <c r="M484" s="2356" t="s">
        <v>925</v>
      </c>
      <c r="N484" s="2357"/>
    </row>
    <row r="485" spans="1:14" ht="12.75" customHeight="1">
      <c r="A485" s="437" t="s">
        <v>444</v>
      </c>
      <c r="B485" s="433"/>
      <c r="C485" s="433"/>
      <c r="D485" s="433"/>
      <c r="E485" s="414" t="s">
        <v>445</v>
      </c>
      <c r="F485" s="433"/>
      <c r="G485" s="433"/>
      <c r="H485" s="434"/>
      <c r="I485" s="2313"/>
      <c r="J485" s="2312" t="s">
        <v>104</v>
      </c>
      <c r="K485" s="2312" t="s">
        <v>105</v>
      </c>
      <c r="L485" s="2313"/>
      <c r="M485" s="2361" t="s">
        <v>453</v>
      </c>
      <c r="N485" s="2362"/>
    </row>
    <row r="486" spans="1:14" ht="12.75" customHeight="1">
      <c r="A486" s="437" t="s">
        <v>450</v>
      </c>
      <c r="B486" s="420"/>
      <c r="C486" s="420"/>
      <c r="D486" s="420"/>
      <c r="E486" s="420"/>
      <c r="F486" s="433"/>
      <c r="G486" s="433"/>
      <c r="H486" s="439"/>
      <c r="I486" s="2313"/>
      <c r="J486" s="2313"/>
      <c r="K486" s="2313"/>
      <c r="L486" s="2313"/>
      <c r="M486" s="2310" t="s">
        <v>108</v>
      </c>
      <c r="N486" s="2310" t="s">
        <v>106</v>
      </c>
    </row>
    <row r="487" spans="1:14" ht="12.75">
      <c r="A487" s="432"/>
      <c r="B487" s="433"/>
      <c r="C487" s="433"/>
      <c r="D487" s="433"/>
      <c r="E487" s="433"/>
      <c r="F487" s="433"/>
      <c r="G487" s="420"/>
      <c r="H487" s="439"/>
      <c r="I487" s="2313"/>
      <c r="J487" s="2313"/>
      <c r="K487" s="2313"/>
      <c r="L487" s="2313"/>
      <c r="M487" s="2311"/>
      <c r="N487" s="2311"/>
    </row>
    <row r="488" spans="1:14" ht="12.75">
      <c r="A488" s="432"/>
      <c r="B488" s="433"/>
      <c r="C488" s="433"/>
      <c r="D488" s="433"/>
      <c r="E488" s="433"/>
      <c r="F488" s="433"/>
      <c r="G488" s="420"/>
      <c r="H488" s="439"/>
      <c r="I488" s="2313"/>
      <c r="J488" s="2313"/>
      <c r="K488" s="2313"/>
      <c r="L488" s="2313"/>
      <c r="M488" s="2311"/>
      <c r="N488" s="2311"/>
    </row>
    <row r="489" spans="1:14" ht="12.75">
      <c r="A489" s="432"/>
      <c r="B489" s="433"/>
      <c r="C489" s="433"/>
      <c r="D489" s="433"/>
      <c r="E489" s="433"/>
      <c r="F489" s="433"/>
      <c r="G489" s="420"/>
      <c r="H489" s="439"/>
      <c r="I489" s="2313"/>
      <c r="J489" s="2313"/>
      <c r="K489" s="2313"/>
      <c r="L489" s="2313"/>
      <c r="M489" s="2311"/>
      <c r="N489" s="2311"/>
    </row>
    <row r="490" spans="1:14" ht="12.75">
      <c r="A490" s="432"/>
      <c r="B490" s="433"/>
      <c r="C490" s="433"/>
      <c r="D490" s="433"/>
      <c r="E490" s="433"/>
      <c r="F490" s="433"/>
      <c r="G490" s="420"/>
      <c r="H490" s="439"/>
      <c r="I490" s="2313"/>
      <c r="J490" s="2313"/>
      <c r="K490" s="2313"/>
      <c r="L490" s="2313"/>
      <c r="M490" s="2311"/>
      <c r="N490" s="2311"/>
    </row>
    <row r="491" spans="1:14" ht="13.5">
      <c r="A491" s="440"/>
      <c r="B491" s="441"/>
      <c r="C491" s="441"/>
      <c r="D491" s="441"/>
      <c r="E491" s="441"/>
      <c r="F491" s="441"/>
      <c r="G491" s="441"/>
      <c r="H491" s="442"/>
      <c r="I491" s="2358"/>
      <c r="J491" s="435" t="s">
        <v>933</v>
      </c>
      <c r="K491" s="443" t="s">
        <v>457</v>
      </c>
      <c r="L491" s="444" t="s">
        <v>457</v>
      </c>
      <c r="M491" s="445" t="s">
        <v>457</v>
      </c>
      <c r="N491" s="438" t="s">
        <v>457</v>
      </c>
    </row>
    <row r="492" spans="1:14" ht="12.75">
      <c r="A492" s="432"/>
      <c r="B492" s="433"/>
      <c r="C492" s="433"/>
      <c r="D492" s="433"/>
      <c r="E492" s="433"/>
      <c r="F492" s="433"/>
      <c r="G492" s="433"/>
      <c r="H492" s="434"/>
      <c r="I492" s="439"/>
      <c r="J492" s="446"/>
      <c r="K492" s="432"/>
      <c r="L492" s="447"/>
      <c r="M492" s="448"/>
      <c r="N492" s="449"/>
    </row>
    <row r="493" spans="1:14" ht="19.5">
      <c r="A493" s="450"/>
      <c r="B493" s="451" t="s">
        <v>934</v>
      </c>
      <c r="C493" s="452"/>
      <c r="D493" s="452"/>
      <c r="E493" s="452"/>
      <c r="F493" s="452"/>
      <c r="G493" s="452"/>
      <c r="H493" s="453"/>
      <c r="I493" s="454"/>
      <c r="J493" s="455"/>
      <c r="K493" s="456"/>
      <c r="L493" s="456"/>
      <c r="M493" s="457"/>
      <c r="N493" s="458"/>
    </row>
    <row r="494" spans="1:14" ht="18.75">
      <c r="A494" s="432"/>
      <c r="B494" s="452"/>
      <c r="C494" s="452"/>
      <c r="D494" s="452"/>
      <c r="E494" s="452"/>
      <c r="F494" s="452"/>
      <c r="G494" s="452"/>
      <c r="H494" s="453"/>
      <c r="I494" s="459"/>
      <c r="J494" s="412"/>
      <c r="K494" s="460"/>
      <c r="L494" s="461"/>
      <c r="M494" s="460"/>
      <c r="N494" s="461"/>
    </row>
    <row r="495" spans="1:14" ht="18.75">
      <c r="A495" s="462">
        <f>A330</f>
        <v>1</v>
      </c>
      <c r="B495" s="452" t="str">
        <f>B330</f>
        <v>Определение гормонов методом иммуноферментного</v>
      </c>
      <c r="C495" s="452"/>
      <c r="D495" s="452"/>
      <c r="E495" s="452"/>
      <c r="F495" s="452"/>
      <c r="G495" s="452"/>
      <c r="H495" s="453"/>
      <c r="I495" s="459"/>
      <c r="J495" s="412"/>
      <c r="K495" s="460"/>
      <c r="L495" s="1307"/>
      <c r="M495" s="460"/>
      <c r="N495" s="461"/>
    </row>
    <row r="496" spans="1:14" ht="18.75">
      <c r="A496" s="462"/>
      <c r="B496" s="452" t="str">
        <f>B404</f>
        <v>анализа с полуавтоматизированным расчетом</v>
      </c>
      <c r="C496" s="452"/>
      <c r="D496" s="452"/>
      <c r="E496" s="452"/>
      <c r="F496" s="452"/>
      <c r="G496" s="452"/>
      <c r="H496" s="453"/>
      <c r="I496" s="459"/>
      <c r="J496" s="412"/>
      <c r="K496" s="460"/>
      <c r="L496" s="1307"/>
      <c r="M496" s="460"/>
      <c r="N496" s="461"/>
    </row>
    <row r="497" spans="1:14" ht="19.5">
      <c r="A497" s="462"/>
      <c r="B497" s="452"/>
      <c r="C497" s="452"/>
      <c r="D497" s="452"/>
      <c r="E497" s="452"/>
      <c r="F497" s="452"/>
      <c r="G497" s="452"/>
      <c r="H497" s="463" t="str">
        <f>G419</f>
        <v>ТТГ</v>
      </c>
      <c r="I497" s="464" t="s">
        <v>945</v>
      </c>
      <c r="J497" s="465">
        <f aca="true" t="shared" si="44" ref="J497:L499">J419</f>
        <v>1.72</v>
      </c>
      <c r="K497" s="466" t="str">
        <f t="shared" si="44"/>
        <v>-</v>
      </c>
      <c r="L497" s="1650">
        <f t="shared" si="44"/>
        <v>3.3545999999999996</v>
      </c>
      <c r="M497" s="496">
        <f>J497+L497</f>
        <v>5.074599999999999</v>
      </c>
      <c r="N497" s="469" t="str">
        <f>N419</f>
        <v>-</v>
      </c>
    </row>
    <row r="498" spans="1:14" ht="19.5">
      <c r="A498" s="432"/>
      <c r="B498" s="452"/>
      <c r="C498" s="452"/>
      <c r="D498" s="452"/>
      <c r="E498" s="452"/>
      <c r="F498" s="452"/>
      <c r="G498" s="452"/>
      <c r="H498" s="463" t="str">
        <f>G420</f>
        <v>Т4</v>
      </c>
      <c r="I498" s="464" t="s">
        <v>945</v>
      </c>
      <c r="J498" s="465">
        <f t="shared" si="44"/>
        <v>1.7200000000000002</v>
      </c>
      <c r="K498" s="466" t="str">
        <f t="shared" si="44"/>
        <v>-</v>
      </c>
      <c r="L498" s="1650">
        <f t="shared" si="44"/>
        <v>3.5235999999999996</v>
      </c>
      <c r="M498" s="496">
        <f>J498+L498</f>
        <v>5.2436</v>
      </c>
      <c r="N498" s="469" t="str">
        <f>N420</f>
        <v>-</v>
      </c>
    </row>
    <row r="499" spans="1:14" ht="19.5">
      <c r="A499" s="432"/>
      <c r="B499" s="452"/>
      <c r="C499" s="452"/>
      <c r="D499" s="452"/>
      <c r="E499" s="452"/>
      <c r="F499" s="452"/>
      <c r="G499" s="452"/>
      <c r="H499" s="463" t="str">
        <f>G421</f>
        <v>Анти-ТПО</v>
      </c>
      <c r="I499" s="464" t="s">
        <v>945</v>
      </c>
      <c r="J499" s="465">
        <f t="shared" si="44"/>
        <v>1.7200000000000002</v>
      </c>
      <c r="K499" s="466" t="str">
        <f t="shared" si="44"/>
        <v>-</v>
      </c>
      <c r="L499" s="1650">
        <f t="shared" si="44"/>
        <v>3.519799999999999</v>
      </c>
      <c r="M499" s="496">
        <f>J499+L499</f>
        <v>5.239799999999999</v>
      </c>
      <c r="N499" s="469" t="str">
        <f>N421</f>
        <v>-</v>
      </c>
    </row>
    <row r="500" spans="1:14" ht="19.5">
      <c r="A500" s="432"/>
      <c r="B500" s="452"/>
      <c r="C500" s="452"/>
      <c r="D500" s="452"/>
      <c r="E500" s="452"/>
      <c r="F500" s="452"/>
      <c r="G500" s="452"/>
      <c r="H500" s="463"/>
      <c r="I500" s="464"/>
      <c r="J500" s="465"/>
      <c r="K500" s="466"/>
      <c r="L500" s="1650"/>
      <c r="M500" s="468"/>
      <c r="N500" s="469"/>
    </row>
    <row r="501" spans="1:14" ht="16.5">
      <c r="A501" s="432"/>
      <c r="B501" s="465"/>
      <c r="C501" s="465"/>
      <c r="D501" s="465"/>
      <c r="E501" s="465"/>
      <c r="F501" s="465"/>
      <c r="G501" s="465"/>
      <c r="H501" s="467"/>
      <c r="I501" s="459"/>
      <c r="J501" s="465"/>
      <c r="K501" s="470"/>
      <c r="L501" s="1650"/>
      <c r="M501" s="470"/>
      <c r="N501" s="467"/>
    </row>
    <row r="502" spans="1:14" ht="16.5" customHeight="1">
      <c r="A502" s="462">
        <v>2</v>
      </c>
      <c r="B502" s="2336" t="str">
        <f>B424</f>
        <v>Определение канцеромаркеров методом иммуноферментного анализа</v>
      </c>
      <c r="C502" s="2337"/>
      <c r="D502" s="2337"/>
      <c r="E502" s="2337"/>
      <c r="F502" s="2337"/>
      <c r="G502" s="2337"/>
      <c r="H502" s="2338"/>
      <c r="I502" s="471"/>
      <c r="J502" s="465"/>
      <c r="K502" s="470"/>
      <c r="L502" s="1650"/>
      <c r="M502" s="470"/>
      <c r="N502" s="467"/>
    </row>
    <row r="503" spans="1:14" ht="19.5" customHeight="1">
      <c r="A503" s="462"/>
      <c r="B503" s="2336"/>
      <c r="C503" s="2337"/>
      <c r="D503" s="2337"/>
      <c r="E503" s="2337"/>
      <c r="F503" s="2337"/>
      <c r="G503" s="2337"/>
      <c r="H503" s="2338"/>
      <c r="I503" s="471"/>
      <c r="J503" s="465"/>
      <c r="K503" s="470"/>
      <c r="L503" s="1650"/>
      <c r="M503" s="470"/>
      <c r="N503" s="467"/>
    </row>
    <row r="504" spans="1:14" ht="16.5" customHeight="1">
      <c r="A504" s="462"/>
      <c r="B504" s="472"/>
      <c r="C504" s="473"/>
      <c r="D504" s="473"/>
      <c r="E504" s="473"/>
      <c r="F504" s="473"/>
      <c r="G504" s="2334" t="s">
        <v>254</v>
      </c>
      <c r="H504" s="2335"/>
      <c r="I504" s="464" t="s">
        <v>945</v>
      </c>
      <c r="J504" s="465">
        <f aca="true" t="shared" si="45" ref="J504:L505">J438</f>
        <v>2.84</v>
      </c>
      <c r="K504" s="466" t="str">
        <f t="shared" si="45"/>
        <v>-</v>
      </c>
      <c r="L504" s="1651">
        <f t="shared" si="45"/>
        <v>3.4256</v>
      </c>
      <c r="M504" s="2119">
        <f>J504+L504</f>
        <v>6.2656</v>
      </c>
      <c r="N504" s="469" t="s">
        <v>622</v>
      </c>
    </row>
    <row r="505" spans="1:14" ht="16.5" customHeight="1">
      <c r="A505" s="432"/>
      <c r="B505" s="472"/>
      <c r="C505" s="473"/>
      <c r="D505" s="473"/>
      <c r="E505" s="473"/>
      <c r="F505" s="473"/>
      <c r="G505" s="2365" t="s">
        <v>253</v>
      </c>
      <c r="H505" s="2366"/>
      <c r="I505" s="464" t="s">
        <v>945</v>
      </c>
      <c r="J505" s="465">
        <f t="shared" si="45"/>
        <v>2.8400000000000003</v>
      </c>
      <c r="K505" s="466" t="str">
        <f t="shared" si="45"/>
        <v>-</v>
      </c>
      <c r="L505" s="1651">
        <f t="shared" si="45"/>
        <v>9.9692</v>
      </c>
      <c r="M505" s="468">
        <f>J505+L505</f>
        <v>12.8092</v>
      </c>
      <c r="N505" s="469" t="s">
        <v>622</v>
      </c>
    </row>
    <row r="506" spans="1:14" ht="16.5">
      <c r="A506" s="432"/>
      <c r="B506" s="465"/>
      <c r="C506" s="465"/>
      <c r="D506" s="465"/>
      <c r="E506" s="465"/>
      <c r="F506" s="465"/>
      <c r="G506" s="465"/>
      <c r="H506" s="825" t="str">
        <f>G440</f>
        <v>СА 19-9</v>
      </c>
      <c r="I506" s="826" t="s">
        <v>945</v>
      </c>
      <c r="J506" s="465">
        <f>J440</f>
        <v>2.84</v>
      </c>
      <c r="K506" s="827" t="s">
        <v>622</v>
      </c>
      <c r="L506" s="1651">
        <f>L440</f>
        <v>11.6623</v>
      </c>
      <c r="M506" s="468">
        <f>J506+L506</f>
        <v>14.5023</v>
      </c>
      <c r="N506" s="469" t="s">
        <v>622</v>
      </c>
    </row>
    <row r="507" spans="1:14" ht="16.5">
      <c r="A507" s="440"/>
      <c r="B507" s="474"/>
      <c r="C507" s="474"/>
      <c r="D507" s="474"/>
      <c r="E507" s="474"/>
      <c r="F507" s="474"/>
      <c r="G507" s="474"/>
      <c r="H507" s="475"/>
      <c r="I507" s="436"/>
      <c r="J507" s="476"/>
      <c r="K507" s="477"/>
      <c r="L507" s="478"/>
      <c r="M507" s="477"/>
      <c r="N507" s="478"/>
    </row>
    <row r="508" spans="1:28" s="165" customFormat="1" ht="15.75">
      <c r="A508" s="416"/>
      <c r="B508" s="417"/>
      <c r="C508" s="417"/>
      <c r="D508" s="417"/>
      <c r="E508" s="417"/>
      <c r="F508" s="417"/>
      <c r="G508" s="417"/>
      <c r="H508" s="417"/>
      <c r="I508" s="416"/>
      <c r="J508" s="479"/>
      <c r="K508" s="479"/>
      <c r="L508" s="479"/>
      <c r="M508" s="479"/>
      <c r="N508" s="479"/>
      <c r="R508" s="2575"/>
      <c r="S508" s="2575"/>
      <c r="T508" s="2575"/>
      <c r="U508" s="2575"/>
      <c r="V508" s="2575"/>
      <c r="W508" s="2575"/>
      <c r="X508" s="2575"/>
      <c r="Y508" s="2575"/>
      <c r="Z508" s="2575"/>
      <c r="AA508" s="2575"/>
      <c r="AB508" s="2575"/>
    </row>
    <row r="509" spans="1:28" s="165" customFormat="1" ht="15.75">
      <c r="A509" s="416"/>
      <c r="B509" s="417"/>
      <c r="C509" s="417"/>
      <c r="D509" s="417"/>
      <c r="E509" s="417"/>
      <c r="F509" s="417"/>
      <c r="G509" s="417"/>
      <c r="H509" s="417"/>
      <c r="I509" s="416"/>
      <c r="J509" s="479"/>
      <c r="K509" s="479"/>
      <c r="L509" s="479"/>
      <c r="M509" s="479"/>
      <c r="N509" s="479"/>
      <c r="R509" s="2575"/>
      <c r="S509" s="2575"/>
      <c r="T509" s="2575"/>
      <c r="U509" s="2575"/>
      <c r="V509" s="2575"/>
      <c r="W509" s="2575"/>
      <c r="X509" s="2575"/>
      <c r="Y509" s="2575"/>
      <c r="Z509" s="2575"/>
      <c r="AA509" s="2575"/>
      <c r="AB509" s="2575"/>
    </row>
    <row r="510" spans="1:28" s="165" customFormat="1" ht="15.75">
      <c r="A510" s="416"/>
      <c r="B510" s="417"/>
      <c r="C510" s="417"/>
      <c r="D510" s="417"/>
      <c r="E510" s="417"/>
      <c r="F510" s="417"/>
      <c r="G510" s="417"/>
      <c r="H510" s="417"/>
      <c r="I510" s="416"/>
      <c r="J510" s="479"/>
      <c r="K510" s="479"/>
      <c r="L510" s="479"/>
      <c r="M510" s="479"/>
      <c r="N510" s="479"/>
      <c r="R510" s="2575"/>
      <c r="S510" s="2575"/>
      <c r="T510" s="2575"/>
      <c r="U510" s="2575"/>
      <c r="V510" s="2575"/>
      <c r="W510" s="2575"/>
      <c r="X510" s="2575"/>
      <c r="Y510" s="2575"/>
      <c r="Z510" s="2575"/>
      <c r="AA510" s="2575"/>
      <c r="AB510" s="2575"/>
    </row>
    <row r="511" spans="1:28" s="165" customFormat="1" ht="15.75">
      <c r="A511" s="416"/>
      <c r="B511" s="417"/>
      <c r="C511" s="417"/>
      <c r="D511" s="417"/>
      <c r="E511" s="417"/>
      <c r="F511" s="417"/>
      <c r="G511" s="417"/>
      <c r="H511" s="417"/>
      <c r="I511" s="416"/>
      <c r="J511" s="479"/>
      <c r="K511" s="479"/>
      <c r="L511" s="479"/>
      <c r="M511" s="479"/>
      <c r="N511" s="479"/>
      <c r="R511" s="2575"/>
      <c r="S511" s="2575"/>
      <c r="T511" s="2575"/>
      <c r="U511" s="2575"/>
      <c r="V511" s="2575"/>
      <c r="W511" s="2575"/>
      <c r="X511" s="2575"/>
      <c r="Y511" s="2575"/>
      <c r="Z511" s="2575"/>
      <c r="AA511" s="2575"/>
      <c r="AB511" s="2575"/>
    </row>
    <row r="512" spans="1:28" s="165" customFormat="1" ht="15.75">
      <c r="A512" s="480" t="s">
        <v>391</v>
      </c>
      <c r="B512" s="417"/>
      <c r="C512" s="417"/>
      <c r="D512" s="417"/>
      <c r="E512" s="417"/>
      <c r="F512" s="417"/>
      <c r="G512" s="417"/>
      <c r="H512" s="417"/>
      <c r="I512" s="416"/>
      <c r="J512" s="479"/>
      <c r="K512" s="479"/>
      <c r="L512" s="417"/>
      <c r="M512" s="1900" t="s">
        <v>10</v>
      </c>
      <c r="N512" s="479"/>
      <c r="R512" s="2575"/>
      <c r="S512" s="2575"/>
      <c r="T512" s="2575"/>
      <c r="U512" s="2575"/>
      <c r="V512" s="2575"/>
      <c r="W512" s="2575"/>
      <c r="X512" s="2575"/>
      <c r="Y512" s="2575"/>
      <c r="Z512" s="2575"/>
      <c r="AA512" s="2575"/>
      <c r="AB512" s="2575"/>
    </row>
    <row r="513" spans="1:28" s="165" customFormat="1" ht="15.75">
      <c r="A513" s="480"/>
      <c r="B513" s="417"/>
      <c r="C513" s="417"/>
      <c r="D513" s="417"/>
      <c r="E513" s="417"/>
      <c r="F513" s="417"/>
      <c r="G513" s="417"/>
      <c r="H513" s="417"/>
      <c r="I513" s="416"/>
      <c r="J513" s="479"/>
      <c r="K513" s="479"/>
      <c r="L513" s="417"/>
      <c r="M513" s="417"/>
      <c r="N513" s="479"/>
      <c r="R513" s="2575"/>
      <c r="S513" s="2575"/>
      <c r="T513" s="2575"/>
      <c r="U513" s="2575"/>
      <c r="V513" s="2575"/>
      <c r="W513" s="2575"/>
      <c r="X513" s="2575"/>
      <c r="Y513" s="2575"/>
      <c r="Z513" s="2575"/>
      <c r="AA513" s="2575"/>
      <c r="AB513" s="2575"/>
    </row>
    <row r="514" spans="1:28" s="165" customFormat="1" ht="15.75">
      <c r="A514" s="480"/>
      <c r="B514" s="417"/>
      <c r="C514" s="417"/>
      <c r="D514" s="417"/>
      <c r="E514" s="417"/>
      <c r="F514" s="417"/>
      <c r="G514" s="417"/>
      <c r="H514" s="417"/>
      <c r="I514" s="416"/>
      <c r="J514" s="479"/>
      <c r="K514" s="479"/>
      <c r="L514" s="417"/>
      <c r="M514" s="417"/>
      <c r="N514" s="479"/>
      <c r="R514" s="2575"/>
      <c r="S514" s="2575"/>
      <c r="T514" s="2575"/>
      <c r="U514" s="2575"/>
      <c r="V514" s="2575"/>
      <c r="W514" s="2575"/>
      <c r="X514" s="2575"/>
      <c r="Y514" s="2575"/>
      <c r="Z514" s="2575"/>
      <c r="AA514" s="2575"/>
      <c r="AB514" s="2575"/>
    </row>
    <row r="515" spans="1:28" s="165" customFormat="1" ht="15.75">
      <c r="A515" s="480" t="s">
        <v>831</v>
      </c>
      <c r="B515" s="417"/>
      <c r="C515" s="417"/>
      <c r="D515" s="417"/>
      <c r="E515" s="417"/>
      <c r="F515" s="417"/>
      <c r="G515" s="417"/>
      <c r="H515" s="417"/>
      <c r="I515" s="416"/>
      <c r="J515" s="479"/>
      <c r="K515" s="479"/>
      <c r="L515" s="417"/>
      <c r="M515" s="417" t="s">
        <v>832</v>
      </c>
      <c r="N515" s="479"/>
      <c r="R515" s="2575"/>
      <c r="S515" s="2575"/>
      <c r="T515" s="2575"/>
      <c r="U515" s="2575"/>
      <c r="V515" s="2575"/>
      <c r="W515" s="2575"/>
      <c r="X515" s="2575"/>
      <c r="Y515" s="2575"/>
      <c r="Z515" s="2575"/>
      <c r="AA515" s="2575"/>
      <c r="AB515" s="2575"/>
    </row>
    <row r="516" spans="1:28" s="165" customFormat="1" ht="15.75">
      <c r="A516" s="480"/>
      <c r="B516" s="417"/>
      <c r="C516" s="417"/>
      <c r="D516" s="417"/>
      <c r="E516" s="417"/>
      <c r="F516" s="417"/>
      <c r="G516" s="417"/>
      <c r="H516" s="417"/>
      <c r="I516" s="416"/>
      <c r="J516" s="479"/>
      <c r="K516" s="479"/>
      <c r="L516" s="417"/>
      <c r="M516" s="417"/>
      <c r="N516" s="479"/>
      <c r="R516" s="2575"/>
      <c r="S516" s="2575"/>
      <c r="T516" s="2575"/>
      <c r="U516" s="2575"/>
      <c r="V516" s="2575"/>
      <c r="W516" s="2575"/>
      <c r="X516" s="2575"/>
      <c r="Y516" s="2575"/>
      <c r="Z516" s="2575"/>
      <c r="AA516" s="2575"/>
      <c r="AB516" s="2575"/>
    </row>
    <row r="517" spans="1:28" s="165" customFormat="1" ht="15.75">
      <c r="A517" s="480"/>
      <c r="B517" s="417"/>
      <c r="C517" s="417"/>
      <c r="D517" s="417"/>
      <c r="E517" s="417"/>
      <c r="F517" s="417"/>
      <c r="G517" s="417"/>
      <c r="H517" s="417"/>
      <c r="I517" s="416"/>
      <c r="J517" s="479"/>
      <c r="K517" s="479"/>
      <c r="L517" s="417"/>
      <c r="M517" s="417"/>
      <c r="N517" s="479"/>
      <c r="R517" s="2575"/>
      <c r="S517" s="2575"/>
      <c r="T517" s="2575"/>
      <c r="U517" s="2575"/>
      <c r="V517" s="2575"/>
      <c r="W517" s="2575"/>
      <c r="X517" s="2575"/>
      <c r="Y517" s="2575"/>
      <c r="Z517" s="2575"/>
      <c r="AA517" s="2575"/>
      <c r="AB517" s="2575"/>
    </row>
    <row r="518" spans="1:28" s="165" customFormat="1" ht="15.75">
      <c r="A518" s="480"/>
      <c r="B518" s="417"/>
      <c r="C518" s="417"/>
      <c r="D518" s="417"/>
      <c r="E518" s="417"/>
      <c r="F518" s="417"/>
      <c r="G518" s="417"/>
      <c r="H518" s="417"/>
      <c r="I518" s="416"/>
      <c r="J518" s="479"/>
      <c r="K518" s="479"/>
      <c r="L518" s="417"/>
      <c r="M518" s="417"/>
      <c r="N518" s="479"/>
      <c r="R518" s="2575"/>
      <c r="S518" s="2575"/>
      <c r="T518" s="2575"/>
      <c r="U518" s="2575"/>
      <c r="V518" s="2575"/>
      <c r="W518" s="2575"/>
      <c r="X518" s="2575"/>
      <c r="Y518" s="2575"/>
      <c r="Z518" s="2575"/>
      <c r="AA518" s="2575"/>
      <c r="AB518" s="2575"/>
    </row>
    <row r="519" spans="1:28" s="165" customFormat="1" ht="15.75">
      <c r="A519" s="480"/>
      <c r="B519" s="417"/>
      <c r="C519" s="417"/>
      <c r="D519" s="417"/>
      <c r="E519" s="417"/>
      <c r="F519" s="417"/>
      <c r="G519" s="417"/>
      <c r="H519" s="417"/>
      <c r="I519" s="416"/>
      <c r="J519" s="479"/>
      <c r="K519" s="479"/>
      <c r="L519" s="417"/>
      <c r="M519" s="417"/>
      <c r="N519" s="479"/>
      <c r="R519" s="2575"/>
      <c r="S519" s="2575"/>
      <c r="T519" s="2575"/>
      <c r="U519" s="2575"/>
      <c r="V519" s="2575"/>
      <c r="W519" s="2575"/>
      <c r="X519" s="2575"/>
      <c r="Y519" s="2575"/>
      <c r="Z519" s="2575"/>
      <c r="AA519" s="2575"/>
      <c r="AB519" s="2575"/>
    </row>
    <row r="520" spans="1:28" s="165" customFormat="1" ht="15.75">
      <c r="A520" s="480"/>
      <c r="B520" s="417"/>
      <c r="C520" s="417"/>
      <c r="D520" s="417"/>
      <c r="E520" s="417"/>
      <c r="F520" s="417"/>
      <c r="G520" s="417"/>
      <c r="H520" s="417"/>
      <c r="I520" s="416"/>
      <c r="J520" s="479"/>
      <c r="K520" s="479"/>
      <c r="L520" s="417"/>
      <c r="M520" s="417"/>
      <c r="N520" s="479"/>
      <c r="R520" s="2575"/>
      <c r="S520" s="2575"/>
      <c r="T520" s="2575"/>
      <c r="U520" s="2575"/>
      <c r="V520" s="2575"/>
      <c r="W520" s="2575"/>
      <c r="X520" s="2575"/>
      <c r="Y520" s="2575"/>
      <c r="Z520" s="2575"/>
      <c r="AA520" s="2575"/>
      <c r="AB520" s="2575"/>
    </row>
    <row r="521" spans="1:28" s="165" customFormat="1" ht="15.75">
      <c r="A521" s="480"/>
      <c r="B521" s="417"/>
      <c r="C521" s="417"/>
      <c r="D521" s="417"/>
      <c r="E521" s="417"/>
      <c r="F521" s="417"/>
      <c r="G521" s="417"/>
      <c r="H521" s="417"/>
      <c r="I521" s="416"/>
      <c r="J521" s="479"/>
      <c r="K521" s="479"/>
      <c r="L521" s="417"/>
      <c r="M521" s="417"/>
      <c r="N521" s="479"/>
      <c r="R521" s="2575"/>
      <c r="S521" s="2575"/>
      <c r="T521" s="2575"/>
      <c r="U521" s="2575"/>
      <c r="V521" s="2575"/>
      <c r="W521" s="2575"/>
      <c r="X521" s="2575"/>
      <c r="Y521" s="2575"/>
      <c r="Z521" s="2575"/>
      <c r="AA521" s="2575"/>
      <c r="AB521" s="2575"/>
    </row>
    <row r="522" spans="1:28" s="165" customFormat="1" ht="15.75">
      <c r="A522" s="480"/>
      <c r="B522" s="417"/>
      <c r="C522" s="417"/>
      <c r="D522" s="417"/>
      <c r="E522" s="417"/>
      <c r="F522" s="417"/>
      <c r="G522" s="417"/>
      <c r="H522" s="417"/>
      <c r="I522" s="416"/>
      <c r="J522" s="479"/>
      <c r="K522" s="479"/>
      <c r="L522" s="417"/>
      <c r="M522" s="417"/>
      <c r="N522" s="479"/>
      <c r="R522" s="2575"/>
      <c r="S522" s="2575"/>
      <c r="T522" s="2575"/>
      <c r="U522" s="2575"/>
      <c r="V522" s="2575"/>
      <c r="W522" s="2575"/>
      <c r="X522" s="2575"/>
      <c r="Y522" s="2575"/>
      <c r="Z522" s="2575"/>
      <c r="AA522" s="2575"/>
      <c r="AB522" s="2575"/>
    </row>
    <row r="523" spans="1:28" s="165" customFormat="1" ht="15.75">
      <c r="A523" s="480"/>
      <c r="B523" s="417"/>
      <c r="C523" s="417"/>
      <c r="D523" s="417"/>
      <c r="E523" s="417"/>
      <c r="F523" s="417"/>
      <c r="G523" s="417"/>
      <c r="H523" s="417"/>
      <c r="I523" s="416"/>
      <c r="J523" s="479"/>
      <c r="K523" s="479"/>
      <c r="L523" s="417"/>
      <c r="M523" s="417"/>
      <c r="N523" s="479"/>
      <c r="R523" s="2575"/>
      <c r="S523" s="2575"/>
      <c r="T523" s="2575"/>
      <c r="U523" s="2575"/>
      <c r="V523" s="2575"/>
      <c r="W523" s="2575"/>
      <c r="X523" s="2575"/>
      <c r="Y523" s="2575"/>
      <c r="Z523" s="2575"/>
      <c r="AA523" s="2575"/>
      <c r="AB523" s="2575"/>
    </row>
    <row r="524" spans="1:28" s="165" customFormat="1" ht="15.75">
      <c r="A524" s="480"/>
      <c r="B524" s="417"/>
      <c r="C524" s="417"/>
      <c r="D524" s="417"/>
      <c r="E524" s="417"/>
      <c r="F524" s="417"/>
      <c r="G524" s="417"/>
      <c r="H524" s="417"/>
      <c r="I524" s="416"/>
      <c r="J524" s="479"/>
      <c r="K524" s="479"/>
      <c r="L524" s="417"/>
      <c r="M524" s="417"/>
      <c r="N524" s="479"/>
      <c r="R524" s="2575"/>
      <c r="S524" s="2575"/>
      <c r="T524" s="2575"/>
      <c r="U524" s="2575"/>
      <c r="V524" s="2575"/>
      <c r="W524" s="2575"/>
      <c r="X524" s="2575"/>
      <c r="Y524" s="2575"/>
      <c r="Z524" s="2575"/>
      <c r="AA524" s="2575"/>
      <c r="AB524" s="2575"/>
    </row>
    <row r="525" spans="1:28" s="165" customFormat="1" ht="15.75">
      <c r="A525" s="480"/>
      <c r="B525" s="417"/>
      <c r="C525" s="417"/>
      <c r="D525" s="417"/>
      <c r="E525" s="417"/>
      <c r="F525" s="417"/>
      <c r="G525" s="417"/>
      <c r="H525" s="417"/>
      <c r="I525" s="416"/>
      <c r="J525" s="479"/>
      <c r="K525" s="479"/>
      <c r="L525" s="417"/>
      <c r="M525" s="417"/>
      <c r="N525" s="479"/>
      <c r="R525" s="2575"/>
      <c r="S525" s="2575"/>
      <c r="T525" s="2575"/>
      <c r="U525" s="2575"/>
      <c r="V525" s="2575"/>
      <c r="W525" s="2575"/>
      <c r="X525" s="2575"/>
      <c r="Y525" s="2575"/>
      <c r="Z525" s="2575"/>
      <c r="AA525" s="2575"/>
      <c r="AB525" s="2575"/>
    </row>
    <row r="526" spans="1:28" s="165" customFormat="1" ht="15.75">
      <c r="A526" s="480"/>
      <c r="B526" s="417"/>
      <c r="C526" s="417"/>
      <c r="D526" s="417"/>
      <c r="E526" s="417"/>
      <c r="F526" s="417"/>
      <c r="G526" s="417"/>
      <c r="H526" s="417"/>
      <c r="I526" s="416"/>
      <c r="J526" s="479"/>
      <c r="K526" s="479"/>
      <c r="L526" s="417"/>
      <c r="M526" s="417"/>
      <c r="N526" s="479"/>
      <c r="R526" s="2575"/>
      <c r="S526" s="2575"/>
      <c r="T526" s="2575"/>
      <c r="U526" s="2575"/>
      <c r="V526" s="2575"/>
      <c r="W526" s="2575"/>
      <c r="X526" s="2575"/>
      <c r="Y526" s="2575"/>
      <c r="Z526" s="2575"/>
      <c r="AA526" s="2575"/>
      <c r="AB526" s="2575"/>
    </row>
    <row r="527" spans="1:28" s="165" customFormat="1" ht="15.75">
      <c r="A527" s="480"/>
      <c r="B527" s="417"/>
      <c r="C527" s="417"/>
      <c r="D527" s="417"/>
      <c r="E527" s="417"/>
      <c r="F527" s="417"/>
      <c r="G527" s="417"/>
      <c r="H527" s="417"/>
      <c r="I527" s="416"/>
      <c r="J527" s="479"/>
      <c r="K527" s="479"/>
      <c r="L527" s="417"/>
      <c r="M527" s="417"/>
      <c r="N527" s="479"/>
      <c r="R527" s="2575"/>
      <c r="S527" s="2575"/>
      <c r="T527" s="2575"/>
      <c r="U527" s="2575"/>
      <c r="V527" s="2575"/>
      <c r="W527" s="2575"/>
      <c r="X527" s="2575"/>
      <c r="Y527" s="2575"/>
      <c r="Z527" s="2575"/>
      <c r="AA527" s="2575"/>
      <c r="AB527" s="2575"/>
    </row>
    <row r="528" spans="1:28" s="165" customFormat="1" ht="15.75">
      <c r="A528" s="480"/>
      <c r="B528" s="417"/>
      <c r="C528" s="417"/>
      <c r="D528" s="417"/>
      <c r="E528" s="417"/>
      <c r="F528" s="417"/>
      <c r="G528" s="417"/>
      <c r="H528" s="417"/>
      <c r="I528" s="416"/>
      <c r="J528" s="479"/>
      <c r="K528" s="479"/>
      <c r="L528" s="417"/>
      <c r="M528" s="417"/>
      <c r="N528" s="479"/>
      <c r="R528" s="2575"/>
      <c r="S528" s="2575"/>
      <c r="T528" s="2575"/>
      <c r="U528" s="2575"/>
      <c r="V528" s="2575"/>
      <c r="W528" s="2575"/>
      <c r="X528" s="2575"/>
      <c r="Y528" s="2575"/>
      <c r="Z528" s="2575"/>
      <c r="AA528" s="2575"/>
      <c r="AB528" s="2575"/>
    </row>
    <row r="529" spans="1:28" s="165" customFormat="1" ht="15.75">
      <c r="A529" s="480"/>
      <c r="B529" s="417"/>
      <c r="C529" s="417"/>
      <c r="D529" s="417"/>
      <c r="E529" s="417"/>
      <c r="F529" s="417"/>
      <c r="G529" s="417"/>
      <c r="H529" s="417"/>
      <c r="I529" s="416"/>
      <c r="J529" s="479"/>
      <c r="K529" s="479"/>
      <c r="L529" s="417"/>
      <c r="M529" s="417"/>
      <c r="N529" s="479"/>
      <c r="R529" s="2575"/>
      <c r="S529" s="2575"/>
      <c r="T529" s="2575"/>
      <c r="U529" s="2575"/>
      <c r="V529" s="2575"/>
      <c r="W529" s="2575"/>
      <c r="X529" s="2575"/>
      <c r="Y529" s="2575"/>
      <c r="Z529" s="2575"/>
      <c r="AA529" s="2575"/>
      <c r="AB529" s="2575"/>
    </row>
    <row r="530" spans="1:28" s="165" customFormat="1" ht="15.75">
      <c r="A530" s="480"/>
      <c r="B530" s="417"/>
      <c r="C530" s="417"/>
      <c r="D530" s="417"/>
      <c r="E530" s="417"/>
      <c r="F530" s="417"/>
      <c r="G530" s="417"/>
      <c r="H530" s="417"/>
      <c r="I530" s="416"/>
      <c r="J530" s="479"/>
      <c r="K530" s="479"/>
      <c r="L530" s="417"/>
      <c r="M530" s="417"/>
      <c r="N530" s="479"/>
      <c r="R530" s="2575"/>
      <c r="S530" s="2575"/>
      <c r="T530" s="2575"/>
      <c r="U530" s="2575"/>
      <c r="V530" s="2575"/>
      <c r="W530" s="2575"/>
      <c r="X530" s="2575"/>
      <c r="Y530" s="2575"/>
      <c r="Z530" s="2575"/>
      <c r="AA530" s="2575"/>
      <c r="AB530" s="2575"/>
    </row>
    <row r="531" spans="1:28" s="165" customFormat="1" ht="15.75">
      <c r="A531" s="480"/>
      <c r="B531" s="417"/>
      <c r="C531" s="417"/>
      <c r="D531" s="417"/>
      <c r="E531" s="417"/>
      <c r="F531" s="417"/>
      <c r="G531" s="417"/>
      <c r="H531" s="417"/>
      <c r="I531" s="416"/>
      <c r="J531" s="479"/>
      <c r="K531" s="479"/>
      <c r="L531" s="417"/>
      <c r="M531" s="417"/>
      <c r="N531" s="479"/>
      <c r="R531" s="2575"/>
      <c r="S531" s="2575"/>
      <c r="T531" s="2575"/>
      <c r="U531" s="2575"/>
      <c r="V531" s="2575"/>
      <c r="W531" s="2575"/>
      <c r="X531" s="2575"/>
      <c r="Y531" s="2575"/>
      <c r="Z531" s="2575"/>
      <c r="AA531" s="2575"/>
      <c r="AB531" s="2575"/>
    </row>
    <row r="532" spans="1:28" s="165" customFormat="1" ht="15.75">
      <c r="A532" s="480"/>
      <c r="B532" s="417"/>
      <c r="C532" s="417"/>
      <c r="D532" s="417"/>
      <c r="E532" s="417"/>
      <c r="F532" s="417"/>
      <c r="G532" s="417"/>
      <c r="H532" s="417"/>
      <c r="I532" s="416"/>
      <c r="J532" s="479"/>
      <c r="K532" s="479"/>
      <c r="L532" s="417"/>
      <c r="M532" s="417"/>
      <c r="N532" s="479"/>
      <c r="R532" s="2575"/>
      <c r="S532" s="2575"/>
      <c r="T532" s="2575"/>
      <c r="U532" s="2575"/>
      <c r="V532" s="2575"/>
      <c r="W532" s="2575"/>
      <c r="X532" s="2575"/>
      <c r="Y532" s="2575"/>
      <c r="Z532" s="2575"/>
      <c r="AA532" s="2575"/>
      <c r="AB532" s="2575"/>
    </row>
    <row r="533" spans="1:28" s="165" customFormat="1" ht="15.75">
      <c r="A533" s="480"/>
      <c r="B533" s="417"/>
      <c r="C533" s="417"/>
      <c r="D533" s="417"/>
      <c r="E533" s="417"/>
      <c r="F533" s="417"/>
      <c r="G533" s="417"/>
      <c r="H533" s="417"/>
      <c r="I533" s="416"/>
      <c r="J533" s="479"/>
      <c r="K533" s="479"/>
      <c r="L533" s="417"/>
      <c r="M533" s="417"/>
      <c r="N533" s="479"/>
      <c r="R533" s="2575"/>
      <c r="S533" s="2575"/>
      <c r="T533" s="2575"/>
      <c r="U533" s="2575"/>
      <c r="V533" s="2575"/>
      <c r="W533" s="2575"/>
      <c r="X533" s="2575"/>
      <c r="Y533" s="2575"/>
      <c r="Z533" s="2575"/>
      <c r="AA533" s="2575"/>
      <c r="AB533" s="2575"/>
    </row>
    <row r="534" spans="1:28" s="165" customFormat="1" ht="15.75">
      <c r="A534" s="480"/>
      <c r="B534" s="417"/>
      <c r="C534" s="417"/>
      <c r="D534" s="417"/>
      <c r="E534" s="417"/>
      <c r="F534" s="417"/>
      <c r="G534" s="417"/>
      <c r="H534" s="417"/>
      <c r="I534" s="416"/>
      <c r="J534" s="479"/>
      <c r="K534" s="479"/>
      <c r="L534" s="417"/>
      <c r="M534" s="417"/>
      <c r="N534" s="479"/>
      <c r="R534" s="2575"/>
      <c r="S534" s="2575"/>
      <c r="T534" s="2575"/>
      <c r="U534" s="2575"/>
      <c r="V534" s="2575"/>
      <c r="W534" s="2575"/>
      <c r="X534" s="2575"/>
      <c r="Y534" s="2575"/>
      <c r="Z534" s="2575"/>
      <c r="AA534" s="2575"/>
      <c r="AB534" s="2575"/>
    </row>
    <row r="535" spans="1:28" s="165" customFormat="1" ht="15.75">
      <c r="A535" s="480"/>
      <c r="B535" s="417"/>
      <c r="C535" s="417"/>
      <c r="D535" s="417"/>
      <c r="E535" s="417"/>
      <c r="F535" s="417"/>
      <c r="G535" s="417"/>
      <c r="H535" s="417"/>
      <c r="I535" s="416"/>
      <c r="J535" s="479"/>
      <c r="K535" s="479"/>
      <c r="L535" s="417"/>
      <c r="M535" s="417"/>
      <c r="N535" s="479"/>
      <c r="R535" s="2575"/>
      <c r="S535" s="2575"/>
      <c r="T535" s="2575"/>
      <c r="U535" s="2575"/>
      <c r="V535" s="2575"/>
      <c r="W535" s="2575"/>
      <c r="X535" s="2575"/>
      <c r="Y535" s="2575"/>
      <c r="Z535" s="2575"/>
      <c r="AA535" s="2575"/>
      <c r="AB535" s="2575"/>
    </row>
    <row r="536" spans="1:28" s="165" customFormat="1" ht="15.75">
      <c r="A536" s="480"/>
      <c r="B536" s="417"/>
      <c r="C536" s="417"/>
      <c r="D536" s="417"/>
      <c r="E536" s="417"/>
      <c r="F536" s="417"/>
      <c r="G536" s="417"/>
      <c r="H536" s="417"/>
      <c r="I536" s="416"/>
      <c r="J536" s="479"/>
      <c r="K536" s="479"/>
      <c r="L536" s="417"/>
      <c r="M536" s="417"/>
      <c r="N536" s="479"/>
      <c r="R536" s="2575"/>
      <c r="S536" s="2575"/>
      <c r="T536" s="2575"/>
      <c r="U536" s="2575"/>
      <c r="V536" s="2575"/>
      <c r="W536" s="2575"/>
      <c r="X536" s="2575"/>
      <c r="Y536" s="2575"/>
      <c r="Z536" s="2575"/>
      <c r="AA536" s="2575"/>
      <c r="AB536" s="2575"/>
    </row>
    <row r="537" spans="1:28" s="165" customFormat="1" ht="15.75">
      <c r="A537" s="480"/>
      <c r="B537" s="417"/>
      <c r="C537" s="417"/>
      <c r="D537" s="417"/>
      <c r="E537" s="417"/>
      <c r="F537" s="417"/>
      <c r="G537" s="417"/>
      <c r="H537" s="417"/>
      <c r="I537" s="416"/>
      <c r="J537" s="479"/>
      <c r="K537" s="479"/>
      <c r="L537" s="417"/>
      <c r="M537" s="417"/>
      <c r="N537" s="479"/>
      <c r="R537" s="2575"/>
      <c r="S537" s="2575"/>
      <c r="T537" s="2575"/>
      <c r="U537" s="2575"/>
      <c r="V537" s="2575"/>
      <c r="W537" s="2575"/>
      <c r="X537" s="2575"/>
      <c r="Y537" s="2575"/>
      <c r="Z537" s="2575"/>
      <c r="AA537" s="2575"/>
      <c r="AB537" s="2575"/>
    </row>
    <row r="538" spans="1:28" s="165" customFormat="1" ht="15.75">
      <c r="A538" s="480"/>
      <c r="B538" s="417"/>
      <c r="C538" s="417"/>
      <c r="D538" s="417"/>
      <c r="E538" s="417"/>
      <c r="F538" s="417"/>
      <c r="G538" s="417"/>
      <c r="H538" s="417"/>
      <c r="I538" s="416"/>
      <c r="J538" s="479"/>
      <c r="K538" s="479"/>
      <c r="L538" s="417"/>
      <c r="M538" s="417"/>
      <c r="N538" s="479"/>
      <c r="R538" s="2575"/>
      <c r="S538" s="2575"/>
      <c r="T538" s="2575"/>
      <c r="U538" s="2575"/>
      <c r="V538" s="2575"/>
      <c r="W538" s="2575"/>
      <c r="X538" s="2575"/>
      <c r="Y538" s="2575"/>
      <c r="Z538" s="2575"/>
      <c r="AA538" s="2575"/>
      <c r="AB538" s="2575"/>
    </row>
    <row r="539" spans="1:28" s="165" customFormat="1" ht="15.75">
      <c r="A539" s="480"/>
      <c r="B539" s="417"/>
      <c r="C539" s="417"/>
      <c r="D539" s="417"/>
      <c r="E539" s="417"/>
      <c r="F539" s="417"/>
      <c r="G539" s="417"/>
      <c r="H539" s="417"/>
      <c r="I539" s="416"/>
      <c r="J539" s="479"/>
      <c r="K539" s="479"/>
      <c r="L539" s="417"/>
      <c r="M539" s="417"/>
      <c r="N539" s="479"/>
      <c r="R539" s="2575"/>
      <c r="S539" s="2575"/>
      <c r="T539" s="2575"/>
      <c r="U539" s="2575"/>
      <c r="V539" s="2575"/>
      <c r="W539" s="2575"/>
      <c r="X539" s="2575"/>
      <c r="Y539" s="2575"/>
      <c r="Z539" s="2575"/>
      <c r="AA539" s="2575"/>
      <c r="AB539" s="2575"/>
    </row>
    <row r="540" spans="1:28" s="165" customFormat="1" ht="15.75">
      <c r="A540" s="480"/>
      <c r="B540" s="417"/>
      <c r="C540" s="417"/>
      <c r="D540" s="417"/>
      <c r="E540" s="417"/>
      <c r="F540" s="417"/>
      <c r="G540" s="417"/>
      <c r="H540" s="417"/>
      <c r="I540" s="416"/>
      <c r="J540" s="479"/>
      <c r="K540" s="479"/>
      <c r="L540" s="417"/>
      <c r="M540" s="417"/>
      <c r="N540" s="479"/>
      <c r="R540" s="2575"/>
      <c r="S540" s="2575"/>
      <c r="T540" s="2575"/>
      <c r="U540" s="2575"/>
      <c r="V540" s="2575"/>
      <c r="W540" s="2575"/>
      <c r="X540" s="2575"/>
      <c r="Y540" s="2575"/>
      <c r="Z540" s="2575"/>
      <c r="AA540" s="2575"/>
      <c r="AB540" s="2575"/>
    </row>
    <row r="541" spans="1:28" s="151" customFormat="1" ht="14.25" customHeight="1">
      <c r="A541" s="275"/>
      <c r="B541" s="207"/>
      <c r="C541" s="207"/>
      <c r="D541" s="207"/>
      <c r="E541" s="207"/>
      <c r="F541" s="207"/>
      <c r="G541" s="207"/>
      <c r="H541" s="207"/>
      <c r="I541" s="275"/>
      <c r="L541" s="152"/>
      <c r="M541" s="490"/>
      <c r="N541" s="490" t="s">
        <v>178</v>
      </c>
      <c r="R541" s="2569"/>
      <c r="S541" s="2569"/>
      <c r="T541" s="2569"/>
      <c r="U541" s="2569"/>
      <c r="V541" s="2569"/>
      <c r="W541" s="2569"/>
      <c r="X541" s="2569"/>
      <c r="Y541" s="2569"/>
      <c r="Z541" s="2569"/>
      <c r="AA541" s="2569"/>
      <c r="AB541" s="2569"/>
    </row>
    <row r="542" spans="1:28" s="151" customFormat="1" ht="14.25" customHeight="1">
      <c r="A542" s="275"/>
      <c r="B542" s="207"/>
      <c r="C542" s="207"/>
      <c r="D542" s="207"/>
      <c r="E542" s="207"/>
      <c r="F542" s="207"/>
      <c r="G542" s="207"/>
      <c r="H542" s="207"/>
      <c r="I542" s="275"/>
      <c r="L542" s="152"/>
      <c r="M542" s="151" t="str">
        <f>M472</f>
        <v>Главный врач Слонимской ЦРБ</v>
      </c>
      <c r="N542" s="152"/>
      <c r="P542" s="153" t="str">
        <f>N2</f>
        <v>Главный врач Слонимской ЦРБ</v>
      </c>
      <c r="R542" s="2569"/>
      <c r="S542" s="2569"/>
      <c r="T542" s="2569"/>
      <c r="U542" s="2569"/>
      <c r="V542" s="2569"/>
      <c r="W542" s="2569"/>
      <c r="X542" s="2569"/>
      <c r="Y542" s="2569"/>
      <c r="Z542" s="2569"/>
      <c r="AA542" s="2569"/>
      <c r="AB542" s="2569"/>
    </row>
    <row r="543" spans="1:28" s="151" customFormat="1" ht="14.25" customHeight="1">
      <c r="A543" s="275"/>
      <c r="B543" s="207"/>
      <c r="C543" s="207"/>
      <c r="D543" s="207"/>
      <c r="E543" s="207"/>
      <c r="F543" s="207"/>
      <c r="G543" s="207"/>
      <c r="H543" s="207"/>
      <c r="I543" s="275"/>
      <c r="L543" s="152"/>
      <c r="M543" s="151" t="str">
        <f>M473</f>
        <v>Г.М. Моисеенкова</v>
      </c>
      <c r="N543" s="152"/>
      <c r="P543" s="153" t="str">
        <f>N3</f>
        <v>Г.М. Моисеенкова</v>
      </c>
      <c r="R543" s="2569"/>
      <c r="S543" s="2569"/>
      <c r="T543" s="2569"/>
      <c r="U543" s="2569"/>
      <c r="V543" s="2569"/>
      <c r="W543" s="2569"/>
      <c r="X543" s="2569"/>
      <c r="Y543" s="2569"/>
      <c r="Z543" s="2569"/>
      <c r="AA543" s="2569"/>
      <c r="AB543" s="2569"/>
    </row>
    <row r="544" spans="1:28" s="151" customFormat="1" ht="14.25" customHeight="1">
      <c r="A544" s="275"/>
      <c r="B544" s="207"/>
      <c r="C544" s="207"/>
      <c r="D544" s="207"/>
      <c r="E544" s="207"/>
      <c r="F544" s="207"/>
      <c r="G544" s="207"/>
      <c r="H544" s="207"/>
      <c r="I544" s="275"/>
      <c r="K544" s="153"/>
      <c r="L544" s="1948">
        <f>L474</f>
        <v>1</v>
      </c>
      <c r="M544" s="482" t="str">
        <f>M474</f>
        <v>июля</v>
      </c>
      <c r="N544" s="1041" t="str">
        <f>N474</f>
        <v>2017 г.</v>
      </c>
      <c r="O544" s="153" t="str">
        <f>M4</f>
        <v>июля</v>
      </c>
      <c r="P544" s="153" t="str">
        <f>N4</f>
        <v>2017 г.</v>
      </c>
      <c r="R544" s="2569"/>
      <c r="S544" s="2569"/>
      <c r="T544" s="2569"/>
      <c r="U544" s="2569"/>
      <c r="V544" s="2569"/>
      <c r="W544" s="2569"/>
      <c r="X544" s="2569"/>
      <c r="Y544" s="2569"/>
      <c r="Z544" s="2569"/>
      <c r="AA544" s="2569"/>
      <c r="AB544" s="2569"/>
    </row>
    <row r="545" spans="1:28" s="165" customFormat="1" ht="25.5" hidden="1">
      <c r="A545" s="2247" t="s">
        <v>438</v>
      </c>
      <c r="B545" s="2247"/>
      <c r="C545" s="2247"/>
      <c r="D545" s="2247"/>
      <c r="E545" s="2247"/>
      <c r="F545" s="2247"/>
      <c r="G545" s="2247"/>
      <c r="H545" s="2247"/>
      <c r="I545" s="2247"/>
      <c r="J545" s="2247"/>
      <c r="K545" s="2247"/>
      <c r="L545" s="2247"/>
      <c r="M545" s="2247"/>
      <c r="N545" s="2247"/>
      <c r="R545" s="2575"/>
      <c r="S545" s="2575"/>
      <c r="T545" s="2575"/>
      <c r="U545" s="2575"/>
      <c r="V545" s="2575"/>
      <c r="W545" s="2575"/>
      <c r="X545" s="2575"/>
      <c r="Y545" s="2575"/>
      <c r="Z545" s="2575"/>
      <c r="AA545" s="2575"/>
      <c r="AB545" s="2575"/>
    </row>
    <row r="546" spans="1:28" s="165" customFormat="1" ht="15.75" hidden="1">
      <c r="A546" s="155"/>
      <c r="B546" s="155"/>
      <c r="C546" s="155"/>
      <c r="D546" s="155"/>
      <c r="E546" s="155"/>
      <c r="F546" s="155"/>
      <c r="G546" s="155"/>
      <c r="H546" s="155"/>
      <c r="I546" s="155"/>
      <c r="J546" s="155"/>
      <c r="K546" s="155"/>
      <c r="L546" s="156"/>
      <c r="M546" s="155"/>
      <c r="N546" s="155"/>
      <c r="R546" s="2575"/>
      <c r="S546" s="2575"/>
      <c r="T546" s="2575"/>
      <c r="U546" s="2575"/>
      <c r="V546" s="2575"/>
      <c r="W546" s="2575"/>
      <c r="X546" s="2575"/>
      <c r="Y546" s="2575"/>
      <c r="Z546" s="2575"/>
      <c r="AA546" s="2575"/>
      <c r="AB546" s="2575"/>
    </row>
    <row r="547" spans="1:28" s="165" customFormat="1" ht="15.75" hidden="1">
      <c r="A547" s="158"/>
      <c r="B547" s="159"/>
      <c r="C547" s="159"/>
      <c r="D547" s="159"/>
      <c r="E547" s="159"/>
      <c r="F547" s="159"/>
      <c r="G547" s="159"/>
      <c r="H547" s="159"/>
      <c r="I547" s="158"/>
      <c r="J547" s="160"/>
      <c r="K547" s="161"/>
      <c r="L547" s="162"/>
      <c r="M547" s="159"/>
      <c r="N547" s="163"/>
      <c r="R547" s="2575"/>
      <c r="S547" s="2575"/>
      <c r="T547" s="2575"/>
      <c r="U547" s="2575"/>
      <c r="V547" s="2575"/>
      <c r="W547" s="2575"/>
      <c r="X547" s="2575"/>
      <c r="Y547" s="2575"/>
      <c r="Z547" s="2575"/>
      <c r="AA547" s="2575"/>
      <c r="AB547" s="2575"/>
    </row>
    <row r="548" spans="1:28" s="165" customFormat="1" ht="17.25">
      <c r="A548" s="2248" t="s">
        <v>439</v>
      </c>
      <c r="B548" s="2248"/>
      <c r="C548" s="2248"/>
      <c r="D548" s="2248"/>
      <c r="E548" s="2248"/>
      <c r="F548" s="2248"/>
      <c r="G548" s="2248"/>
      <c r="H548" s="2248"/>
      <c r="I548" s="2248"/>
      <c r="J548" s="2248"/>
      <c r="K548" s="2248"/>
      <c r="L548" s="2248"/>
      <c r="M548" s="2248"/>
      <c r="N548" s="2248"/>
      <c r="R548" s="2575"/>
      <c r="S548" s="2575"/>
      <c r="T548" s="2575"/>
      <c r="U548" s="2575"/>
      <c r="V548" s="2575"/>
      <c r="W548" s="2575"/>
      <c r="X548" s="2575"/>
      <c r="Y548" s="2575"/>
      <c r="Z548" s="2575"/>
      <c r="AA548" s="2575"/>
      <c r="AB548" s="2575"/>
    </row>
    <row r="549" spans="1:28" s="165" customFormat="1" ht="17.25">
      <c r="A549" s="2248" t="s">
        <v>402</v>
      </c>
      <c r="B549" s="2248"/>
      <c r="C549" s="2248"/>
      <c r="D549" s="2248"/>
      <c r="E549" s="2248"/>
      <c r="F549" s="2248"/>
      <c r="G549" s="2248"/>
      <c r="H549" s="2248"/>
      <c r="I549" s="2248"/>
      <c r="J549" s="2248"/>
      <c r="K549" s="2248"/>
      <c r="L549" s="2248"/>
      <c r="M549" s="2248"/>
      <c r="N549" s="2248"/>
      <c r="R549" s="2575"/>
      <c r="S549" s="2575"/>
      <c r="T549" s="2575"/>
      <c r="U549" s="2575"/>
      <c r="V549" s="2575"/>
      <c r="W549" s="2575"/>
      <c r="X549" s="2575"/>
      <c r="Y549" s="2575"/>
      <c r="Z549" s="2575"/>
      <c r="AA549" s="2575"/>
      <c r="AB549" s="2575"/>
    </row>
    <row r="550" spans="1:28" s="165" customFormat="1" ht="15.75" hidden="1">
      <c r="A550" s="166"/>
      <c r="B550" s="167"/>
      <c r="C550" s="167"/>
      <c r="D550" s="167"/>
      <c r="E550" s="167"/>
      <c r="F550" s="167"/>
      <c r="G550" s="168"/>
      <c r="H550" s="167"/>
      <c r="I550" s="169"/>
      <c r="L550" s="170"/>
      <c r="R550" s="2575"/>
      <c r="S550" s="2575"/>
      <c r="T550" s="2575"/>
      <c r="U550" s="2575"/>
      <c r="V550" s="2575"/>
      <c r="W550" s="2575"/>
      <c r="X550" s="2575"/>
      <c r="Y550" s="2575"/>
      <c r="Z550" s="2575"/>
      <c r="AA550" s="2575"/>
      <c r="AB550" s="2575"/>
    </row>
    <row r="551" spans="1:28" s="165" customFormat="1" ht="15.75">
      <c r="A551" s="171"/>
      <c r="B551" s="172" t="str">
        <f>B12</f>
        <v>вводится с </v>
      </c>
      <c r="C551" s="173" t="str">
        <f>C12</f>
        <v>01.07.2017г.</v>
      </c>
      <c r="D551" s="173"/>
      <c r="E551" s="174"/>
      <c r="F551" s="174"/>
      <c r="G551" s="175"/>
      <c r="H551" s="174"/>
      <c r="I551" s="176"/>
      <c r="J551" s="177"/>
      <c r="K551" s="177"/>
      <c r="L551" s="178"/>
      <c r="M551" s="177"/>
      <c r="N551" s="177"/>
      <c r="R551" s="2575"/>
      <c r="S551" s="2575"/>
      <c r="T551" s="2575"/>
      <c r="U551" s="2575"/>
      <c r="V551" s="2575"/>
      <c r="W551" s="2575"/>
      <c r="X551" s="2575"/>
      <c r="Y551" s="2575"/>
      <c r="Z551" s="2575"/>
      <c r="AA551" s="2575"/>
      <c r="AB551" s="2575"/>
    </row>
    <row r="552" spans="1:256" s="177" customFormat="1" ht="15.75" customHeight="1">
      <c r="A552" s="2268" t="s">
        <v>259</v>
      </c>
      <c r="B552" s="180"/>
      <c r="C552" s="180"/>
      <c r="D552" s="180"/>
      <c r="E552" s="181"/>
      <c r="F552" s="180"/>
      <c r="G552" s="180"/>
      <c r="H552" s="182"/>
      <c r="I552" s="183"/>
      <c r="J552" s="2253" t="s">
        <v>447</v>
      </c>
      <c r="K552" s="2254"/>
      <c r="L552" s="185" t="s">
        <v>923</v>
      </c>
      <c r="M552" s="2303" t="s">
        <v>443</v>
      </c>
      <c r="N552" s="2304"/>
      <c r="O552" s="2304"/>
      <c r="P552" s="2305"/>
      <c r="Q552" s="2571" t="s">
        <v>259</v>
      </c>
      <c r="R552" s="2563"/>
      <c r="S552" s="2563"/>
      <c r="T552" s="2563"/>
      <c r="U552" s="2579"/>
      <c r="V552" s="2563"/>
      <c r="W552" s="2563"/>
      <c r="X552" s="2563"/>
      <c r="Y552" s="2556"/>
      <c r="Z552" s="2562" t="s">
        <v>447</v>
      </c>
      <c r="AA552" s="2562"/>
      <c r="AB552" s="2556" t="s">
        <v>923</v>
      </c>
      <c r="AC552" s="2303" t="s">
        <v>443</v>
      </c>
      <c r="AD552" s="2304"/>
      <c r="AE552" s="2304"/>
      <c r="AF552" s="2305"/>
      <c r="AG552" s="2268" t="s">
        <v>259</v>
      </c>
      <c r="AH552" s="180"/>
      <c r="AI552" s="180"/>
      <c r="AJ552" s="180"/>
      <c r="AK552" s="181"/>
      <c r="AL552" s="180"/>
      <c r="AM552" s="180"/>
      <c r="AN552" s="182"/>
      <c r="AO552" s="183"/>
      <c r="AP552" s="2253" t="s">
        <v>447</v>
      </c>
      <c r="AQ552" s="2254"/>
      <c r="AR552" s="185" t="s">
        <v>923</v>
      </c>
      <c r="AS552" s="2303" t="s">
        <v>443</v>
      </c>
      <c r="AT552" s="2304"/>
      <c r="AU552" s="2304"/>
      <c r="AV552" s="2305"/>
      <c r="AW552" s="2268" t="s">
        <v>259</v>
      </c>
      <c r="AX552" s="180"/>
      <c r="AY552" s="180"/>
      <c r="AZ552" s="180"/>
      <c r="BA552" s="181"/>
      <c r="BB552" s="180"/>
      <c r="BC552" s="180"/>
      <c r="BD552" s="182"/>
      <c r="BE552" s="183"/>
      <c r="BF552" s="2253" t="s">
        <v>447</v>
      </c>
      <c r="BG552" s="2254"/>
      <c r="BH552" s="185" t="s">
        <v>923</v>
      </c>
      <c r="BI552" s="2303" t="s">
        <v>443</v>
      </c>
      <c r="BJ552" s="2304"/>
      <c r="BK552" s="2304"/>
      <c r="BL552" s="2305"/>
      <c r="BM552" s="2268" t="s">
        <v>259</v>
      </c>
      <c r="BN552" s="180"/>
      <c r="BO552" s="180"/>
      <c r="BP552" s="180"/>
      <c r="BQ552" s="181"/>
      <c r="BR552" s="180"/>
      <c r="BS552" s="180"/>
      <c r="BT552" s="182"/>
      <c r="BU552" s="183"/>
      <c r="BV552" s="2253" t="s">
        <v>447</v>
      </c>
      <c r="BW552" s="2254"/>
      <c r="BX552" s="185" t="s">
        <v>923</v>
      </c>
      <c r="BY552" s="2303" t="s">
        <v>443</v>
      </c>
      <c r="BZ552" s="2304"/>
      <c r="CA552" s="2304"/>
      <c r="CB552" s="2305"/>
      <c r="CC552" s="2268" t="s">
        <v>259</v>
      </c>
      <c r="CD552" s="180"/>
      <c r="CE552" s="180"/>
      <c r="CF552" s="180"/>
      <c r="CG552" s="181"/>
      <c r="CH552" s="180"/>
      <c r="CI552" s="180"/>
      <c r="CJ552" s="182"/>
      <c r="CK552" s="183"/>
      <c r="CL552" s="2253" t="s">
        <v>447</v>
      </c>
      <c r="CM552" s="2254"/>
      <c r="CN552" s="185" t="s">
        <v>923</v>
      </c>
      <c r="CO552" s="2303" t="s">
        <v>443</v>
      </c>
      <c r="CP552" s="2304"/>
      <c r="CQ552" s="2304"/>
      <c r="CR552" s="2305"/>
      <c r="CS552" s="2268" t="s">
        <v>259</v>
      </c>
      <c r="CT552" s="180"/>
      <c r="CU552" s="180"/>
      <c r="CV552" s="180"/>
      <c r="CW552" s="181"/>
      <c r="CX552" s="180"/>
      <c r="CY552" s="180"/>
      <c r="CZ552" s="182"/>
      <c r="DA552" s="183"/>
      <c r="DB552" s="2253" t="s">
        <v>447</v>
      </c>
      <c r="DC552" s="2254"/>
      <c r="DD552" s="185" t="s">
        <v>923</v>
      </c>
      <c r="DE552" s="2303" t="s">
        <v>443</v>
      </c>
      <c r="DF552" s="2304"/>
      <c r="DG552" s="2304"/>
      <c r="DH552" s="2305"/>
      <c r="DI552" s="2268" t="s">
        <v>259</v>
      </c>
      <c r="DJ552" s="180"/>
      <c r="DK552" s="180"/>
      <c r="DL552" s="180"/>
      <c r="DM552" s="181"/>
      <c r="DN552" s="180"/>
      <c r="DO552" s="180"/>
      <c r="DP552" s="182"/>
      <c r="DQ552" s="183"/>
      <c r="DR552" s="2253" t="s">
        <v>447</v>
      </c>
      <c r="DS552" s="2254"/>
      <c r="DT552" s="185" t="s">
        <v>923</v>
      </c>
      <c r="DU552" s="2303" t="s">
        <v>443</v>
      </c>
      <c r="DV552" s="2304"/>
      <c r="DW552" s="2304"/>
      <c r="DX552" s="2305"/>
      <c r="DY552" s="2268" t="s">
        <v>259</v>
      </c>
      <c r="DZ552" s="180"/>
      <c r="EA552" s="180"/>
      <c r="EB552" s="180"/>
      <c r="EC552" s="181"/>
      <c r="ED552" s="180"/>
      <c r="EE552" s="180"/>
      <c r="EF552" s="182"/>
      <c r="EG552" s="183"/>
      <c r="EH552" s="2253" t="s">
        <v>447</v>
      </c>
      <c r="EI552" s="2254"/>
      <c r="EJ552" s="185" t="s">
        <v>923</v>
      </c>
      <c r="EK552" s="2303" t="s">
        <v>443</v>
      </c>
      <c r="EL552" s="2304"/>
      <c r="EM552" s="2304"/>
      <c r="EN552" s="2305"/>
      <c r="EO552" s="2268" t="s">
        <v>259</v>
      </c>
      <c r="EP552" s="180"/>
      <c r="EQ552" s="180"/>
      <c r="ER552" s="180"/>
      <c r="ES552" s="181"/>
      <c r="ET552" s="180"/>
      <c r="EU552" s="180"/>
      <c r="EV552" s="182"/>
      <c r="EW552" s="183"/>
      <c r="EX552" s="2253" t="s">
        <v>447</v>
      </c>
      <c r="EY552" s="2254"/>
      <c r="EZ552" s="185" t="s">
        <v>923</v>
      </c>
      <c r="FA552" s="2303" t="s">
        <v>443</v>
      </c>
      <c r="FB552" s="2304"/>
      <c r="FC552" s="2304"/>
      <c r="FD552" s="2305"/>
      <c r="FE552" s="2268" t="s">
        <v>259</v>
      </c>
      <c r="FF552" s="180"/>
      <c r="FG552" s="180"/>
      <c r="FH552" s="180"/>
      <c r="FI552" s="181"/>
      <c r="FJ552" s="180"/>
      <c r="FK552" s="180"/>
      <c r="FL552" s="182"/>
      <c r="FM552" s="183"/>
      <c r="FN552" s="2253" t="s">
        <v>447</v>
      </c>
      <c r="FO552" s="2254"/>
      <c r="FP552" s="185" t="s">
        <v>923</v>
      </c>
      <c r="FQ552" s="2303" t="s">
        <v>443</v>
      </c>
      <c r="FR552" s="2304"/>
      <c r="FS552" s="2304"/>
      <c r="FT552" s="2305"/>
      <c r="FU552" s="2268" t="s">
        <v>259</v>
      </c>
      <c r="FV552" s="180"/>
      <c r="FW552" s="180"/>
      <c r="FX552" s="180"/>
      <c r="FY552" s="181"/>
      <c r="FZ552" s="180"/>
      <c r="GA552" s="180"/>
      <c r="GB552" s="182"/>
      <c r="GC552" s="183"/>
      <c r="GD552" s="2253" t="s">
        <v>447</v>
      </c>
      <c r="GE552" s="2254"/>
      <c r="GF552" s="185" t="s">
        <v>923</v>
      </c>
      <c r="GG552" s="2303" t="s">
        <v>443</v>
      </c>
      <c r="GH552" s="2304"/>
      <c r="GI552" s="2304"/>
      <c r="GJ552" s="2305"/>
      <c r="GK552" s="2268" t="s">
        <v>259</v>
      </c>
      <c r="GL552" s="180"/>
      <c r="GM552" s="180"/>
      <c r="GN552" s="180"/>
      <c r="GO552" s="181"/>
      <c r="GP552" s="180"/>
      <c r="GQ552" s="180"/>
      <c r="GR552" s="182"/>
      <c r="GS552" s="183"/>
      <c r="GT552" s="2253" t="s">
        <v>447</v>
      </c>
      <c r="GU552" s="2254"/>
      <c r="GV552" s="185" t="s">
        <v>923</v>
      </c>
      <c r="GW552" s="2303" t="s">
        <v>443</v>
      </c>
      <c r="GX552" s="2304"/>
      <c r="GY552" s="2304"/>
      <c r="GZ552" s="2305"/>
      <c r="HA552" s="2268" t="s">
        <v>259</v>
      </c>
      <c r="HB552" s="180"/>
      <c r="HC552" s="180"/>
      <c r="HD552" s="180"/>
      <c r="HE552" s="181"/>
      <c r="HF552" s="180"/>
      <c r="HG552" s="180"/>
      <c r="HH552" s="182"/>
      <c r="HI552" s="183"/>
      <c r="HJ552" s="2253" t="s">
        <v>447</v>
      </c>
      <c r="HK552" s="2254"/>
      <c r="HL552" s="185" t="s">
        <v>923</v>
      </c>
      <c r="HM552" s="2303" t="s">
        <v>443</v>
      </c>
      <c r="HN552" s="2304"/>
      <c r="HO552" s="2304"/>
      <c r="HP552" s="2305"/>
      <c r="HQ552" s="2268" t="s">
        <v>259</v>
      </c>
      <c r="HR552" s="180"/>
      <c r="HS552" s="180"/>
      <c r="HT552" s="180"/>
      <c r="HU552" s="181"/>
      <c r="HV552" s="180"/>
      <c r="HW552" s="180"/>
      <c r="HX552" s="182"/>
      <c r="HY552" s="183"/>
      <c r="HZ552" s="2253" t="s">
        <v>447</v>
      </c>
      <c r="IA552" s="2254"/>
      <c r="IB552" s="185" t="s">
        <v>923</v>
      </c>
      <c r="IC552" s="2303" t="s">
        <v>443</v>
      </c>
      <c r="ID552" s="2304"/>
      <c r="IE552" s="2304"/>
      <c r="IF552" s="2305"/>
      <c r="IG552" s="2268" t="s">
        <v>259</v>
      </c>
      <c r="IH552" s="180"/>
      <c r="II552" s="180"/>
      <c r="IJ552" s="180"/>
      <c r="IK552" s="181"/>
      <c r="IL552" s="180"/>
      <c r="IM552" s="180"/>
      <c r="IN552" s="182"/>
      <c r="IO552" s="183"/>
      <c r="IP552" s="2253" t="s">
        <v>447</v>
      </c>
      <c r="IQ552" s="2254"/>
      <c r="IR552" s="185" t="s">
        <v>923</v>
      </c>
      <c r="IS552" s="2303" t="s">
        <v>443</v>
      </c>
      <c r="IT552" s="2304"/>
      <c r="IU552" s="2304"/>
      <c r="IV552" s="2305"/>
    </row>
    <row r="553" spans="1:256" s="177" customFormat="1" ht="15.75">
      <c r="A553" s="2269"/>
      <c r="B553" s="174"/>
      <c r="C553" s="174"/>
      <c r="D553" s="174"/>
      <c r="E553" s="174"/>
      <c r="F553" s="174"/>
      <c r="G553" s="174"/>
      <c r="H553" s="188"/>
      <c r="I553" s="189"/>
      <c r="J553" s="2242"/>
      <c r="K553" s="2243"/>
      <c r="L553" s="191" t="s">
        <v>924</v>
      </c>
      <c r="M553" s="2306" t="s">
        <v>233</v>
      </c>
      <c r="N553" s="2307"/>
      <c r="O553" s="2307"/>
      <c r="P553" s="2308"/>
      <c r="Q553" s="2572"/>
      <c r="R553" s="2563"/>
      <c r="S553" s="2563"/>
      <c r="T553" s="2563"/>
      <c r="U553" s="2563"/>
      <c r="V553" s="2563"/>
      <c r="W553" s="2563"/>
      <c r="X553" s="2563"/>
      <c r="Y553" s="2556"/>
      <c r="Z553" s="2562"/>
      <c r="AA553" s="2562"/>
      <c r="AB553" s="2556" t="s">
        <v>924</v>
      </c>
      <c r="AC553" s="2306" t="s">
        <v>233</v>
      </c>
      <c r="AD553" s="2307"/>
      <c r="AE553" s="2307"/>
      <c r="AF553" s="2308"/>
      <c r="AG553" s="2269"/>
      <c r="AH553" s="174"/>
      <c r="AI553" s="174"/>
      <c r="AJ553" s="174"/>
      <c r="AK553" s="174"/>
      <c r="AL553" s="174"/>
      <c r="AM553" s="174"/>
      <c r="AN553" s="188"/>
      <c r="AO553" s="189"/>
      <c r="AP553" s="2242"/>
      <c r="AQ553" s="2243"/>
      <c r="AR553" s="191" t="s">
        <v>924</v>
      </c>
      <c r="AS553" s="2306" t="s">
        <v>233</v>
      </c>
      <c r="AT553" s="2307"/>
      <c r="AU553" s="2307"/>
      <c r="AV553" s="2308"/>
      <c r="AW553" s="2269"/>
      <c r="AX553" s="174"/>
      <c r="AY553" s="174"/>
      <c r="AZ553" s="174"/>
      <c r="BA553" s="174"/>
      <c r="BB553" s="174"/>
      <c r="BC553" s="174"/>
      <c r="BD553" s="188"/>
      <c r="BE553" s="189"/>
      <c r="BF553" s="2242"/>
      <c r="BG553" s="2243"/>
      <c r="BH553" s="191" t="s">
        <v>924</v>
      </c>
      <c r="BI553" s="2306" t="s">
        <v>233</v>
      </c>
      <c r="BJ553" s="2307"/>
      <c r="BK553" s="2307"/>
      <c r="BL553" s="2308"/>
      <c r="BM553" s="2269"/>
      <c r="BN553" s="174"/>
      <c r="BO553" s="174"/>
      <c r="BP553" s="174"/>
      <c r="BQ553" s="174"/>
      <c r="BR553" s="174"/>
      <c r="BS553" s="174"/>
      <c r="BT553" s="188"/>
      <c r="BU553" s="189"/>
      <c r="BV553" s="2242"/>
      <c r="BW553" s="2243"/>
      <c r="BX553" s="191" t="s">
        <v>924</v>
      </c>
      <c r="BY553" s="2306" t="s">
        <v>233</v>
      </c>
      <c r="BZ553" s="2307"/>
      <c r="CA553" s="2307"/>
      <c r="CB553" s="2308"/>
      <c r="CC553" s="2269"/>
      <c r="CD553" s="174"/>
      <c r="CE553" s="174"/>
      <c r="CF553" s="174"/>
      <c r="CG553" s="174"/>
      <c r="CH553" s="174"/>
      <c r="CI553" s="174"/>
      <c r="CJ553" s="188"/>
      <c r="CK553" s="189"/>
      <c r="CL553" s="2242"/>
      <c r="CM553" s="2243"/>
      <c r="CN553" s="191" t="s">
        <v>924</v>
      </c>
      <c r="CO553" s="2306" t="s">
        <v>233</v>
      </c>
      <c r="CP553" s="2307"/>
      <c r="CQ553" s="2307"/>
      <c r="CR553" s="2308"/>
      <c r="CS553" s="2269"/>
      <c r="CT553" s="174"/>
      <c r="CU553" s="174"/>
      <c r="CV553" s="174"/>
      <c r="CW553" s="174"/>
      <c r="CX553" s="174"/>
      <c r="CY553" s="174"/>
      <c r="CZ553" s="188"/>
      <c r="DA553" s="189"/>
      <c r="DB553" s="2242"/>
      <c r="DC553" s="2243"/>
      <c r="DD553" s="191" t="s">
        <v>924</v>
      </c>
      <c r="DE553" s="2306" t="s">
        <v>233</v>
      </c>
      <c r="DF553" s="2307"/>
      <c r="DG553" s="2307"/>
      <c r="DH553" s="2308"/>
      <c r="DI553" s="2269"/>
      <c r="DJ553" s="174"/>
      <c r="DK553" s="174"/>
      <c r="DL553" s="174"/>
      <c r="DM553" s="174"/>
      <c r="DN553" s="174"/>
      <c r="DO553" s="174"/>
      <c r="DP553" s="188"/>
      <c r="DQ553" s="189"/>
      <c r="DR553" s="2242"/>
      <c r="DS553" s="2243"/>
      <c r="DT553" s="191" t="s">
        <v>924</v>
      </c>
      <c r="DU553" s="2306" t="s">
        <v>233</v>
      </c>
      <c r="DV553" s="2307"/>
      <c r="DW553" s="2307"/>
      <c r="DX553" s="2308"/>
      <c r="DY553" s="2269"/>
      <c r="DZ553" s="174"/>
      <c r="EA553" s="174"/>
      <c r="EB553" s="174"/>
      <c r="EC553" s="174"/>
      <c r="ED553" s="174"/>
      <c r="EE553" s="174"/>
      <c r="EF553" s="188"/>
      <c r="EG553" s="189"/>
      <c r="EH553" s="2242"/>
      <c r="EI553" s="2243"/>
      <c r="EJ553" s="191" t="s">
        <v>924</v>
      </c>
      <c r="EK553" s="2306" t="s">
        <v>233</v>
      </c>
      <c r="EL553" s="2307"/>
      <c r="EM553" s="2307"/>
      <c r="EN553" s="2308"/>
      <c r="EO553" s="2269"/>
      <c r="EP553" s="174"/>
      <c r="EQ553" s="174"/>
      <c r="ER553" s="174"/>
      <c r="ES553" s="174"/>
      <c r="ET553" s="174"/>
      <c r="EU553" s="174"/>
      <c r="EV553" s="188"/>
      <c r="EW553" s="189"/>
      <c r="EX553" s="2242"/>
      <c r="EY553" s="2243"/>
      <c r="EZ553" s="191" t="s">
        <v>924</v>
      </c>
      <c r="FA553" s="2306" t="s">
        <v>233</v>
      </c>
      <c r="FB553" s="2307"/>
      <c r="FC553" s="2307"/>
      <c r="FD553" s="2308"/>
      <c r="FE553" s="2269"/>
      <c r="FF553" s="174"/>
      <c r="FG553" s="174"/>
      <c r="FH553" s="174"/>
      <c r="FI553" s="174"/>
      <c r="FJ553" s="174"/>
      <c r="FK553" s="174"/>
      <c r="FL553" s="188"/>
      <c r="FM553" s="189"/>
      <c r="FN553" s="2242"/>
      <c r="FO553" s="2243"/>
      <c r="FP553" s="191" t="s">
        <v>924</v>
      </c>
      <c r="FQ553" s="2306" t="s">
        <v>233</v>
      </c>
      <c r="FR553" s="2307"/>
      <c r="FS553" s="2307"/>
      <c r="FT553" s="2308"/>
      <c r="FU553" s="2269"/>
      <c r="FV553" s="174"/>
      <c r="FW553" s="174"/>
      <c r="FX553" s="174"/>
      <c r="FY553" s="174"/>
      <c r="FZ553" s="174"/>
      <c r="GA553" s="174"/>
      <c r="GB553" s="188"/>
      <c r="GC553" s="189"/>
      <c r="GD553" s="2242"/>
      <c r="GE553" s="2243"/>
      <c r="GF553" s="191" t="s">
        <v>924</v>
      </c>
      <c r="GG553" s="2306" t="s">
        <v>233</v>
      </c>
      <c r="GH553" s="2307"/>
      <c r="GI553" s="2307"/>
      <c r="GJ553" s="2308"/>
      <c r="GK553" s="2269"/>
      <c r="GL553" s="174"/>
      <c r="GM553" s="174"/>
      <c r="GN553" s="174"/>
      <c r="GO553" s="174"/>
      <c r="GP553" s="174"/>
      <c r="GQ553" s="174"/>
      <c r="GR553" s="188"/>
      <c r="GS553" s="189"/>
      <c r="GT553" s="2242"/>
      <c r="GU553" s="2243"/>
      <c r="GV553" s="191" t="s">
        <v>924</v>
      </c>
      <c r="GW553" s="2306" t="s">
        <v>233</v>
      </c>
      <c r="GX553" s="2307"/>
      <c r="GY553" s="2307"/>
      <c r="GZ553" s="2308"/>
      <c r="HA553" s="2269"/>
      <c r="HB553" s="174"/>
      <c r="HC553" s="174"/>
      <c r="HD553" s="174"/>
      <c r="HE553" s="174"/>
      <c r="HF553" s="174"/>
      <c r="HG553" s="174"/>
      <c r="HH553" s="188"/>
      <c r="HI553" s="189"/>
      <c r="HJ553" s="2242"/>
      <c r="HK553" s="2243"/>
      <c r="HL553" s="191" t="s">
        <v>924</v>
      </c>
      <c r="HM553" s="2306" t="s">
        <v>233</v>
      </c>
      <c r="HN553" s="2307"/>
      <c r="HO553" s="2307"/>
      <c r="HP553" s="2308"/>
      <c r="HQ553" s="2269"/>
      <c r="HR553" s="174"/>
      <c r="HS553" s="174"/>
      <c r="HT553" s="174"/>
      <c r="HU553" s="174"/>
      <c r="HV553" s="174"/>
      <c r="HW553" s="174"/>
      <c r="HX553" s="188"/>
      <c r="HY553" s="189"/>
      <c r="HZ553" s="2242"/>
      <c r="IA553" s="2243"/>
      <c r="IB553" s="191" t="s">
        <v>924</v>
      </c>
      <c r="IC553" s="2306" t="s">
        <v>233</v>
      </c>
      <c r="ID553" s="2307"/>
      <c r="IE553" s="2307"/>
      <c r="IF553" s="2308"/>
      <c r="IG553" s="2269"/>
      <c r="IH553" s="174"/>
      <c r="II553" s="174"/>
      <c r="IJ553" s="174"/>
      <c r="IK553" s="174"/>
      <c r="IL553" s="174"/>
      <c r="IM553" s="174"/>
      <c r="IN553" s="188"/>
      <c r="IO553" s="189"/>
      <c r="IP553" s="2242"/>
      <c r="IQ553" s="2243"/>
      <c r="IR553" s="191" t="s">
        <v>924</v>
      </c>
      <c r="IS553" s="2306" t="s">
        <v>233</v>
      </c>
      <c r="IT553" s="2307"/>
      <c r="IU553" s="2307"/>
      <c r="IV553" s="2308"/>
    </row>
    <row r="554" spans="1:256" s="177" customFormat="1" ht="36" customHeight="1">
      <c r="A554" s="2269"/>
      <c r="B554" s="174"/>
      <c r="C554" s="174"/>
      <c r="D554" s="174"/>
      <c r="E554" s="148" t="s">
        <v>445</v>
      </c>
      <c r="F554" s="174"/>
      <c r="G554" s="174"/>
      <c r="H554" s="188"/>
      <c r="I554" s="189" t="s">
        <v>844</v>
      </c>
      <c r="J554" s="184" t="s">
        <v>926</v>
      </c>
      <c r="K554" s="179" t="s">
        <v>927</v>
      </c>
      <c r="L554" s="191" t="s">
        <v>448</v>
      </c>
      <c r="M554" s="2349" t="s">
        <v>509</v>
      </c>
      <c r="N554" s="2350"/>
      <c r="O554" s="2349" t="s">
        <v>510</v>
      </c>
      <c r="P554" s="2350"/>
      <c r="Q554" s="2572"/>
      <c r="R554" s="2563"/>
      <c r="S554" s="2563"/>
      <c r="T554" s="2563"/>
      <c r="U554" s="2556" t="s">
        <v>445</v>
      </c>
      <c r="V554" s="2563"/>
      <c r="W554" s="2563"/>
      <c r="X554" s="2563"/>
      <c r="Y554" s="2556" t="s">
        <v>844</v>
      </c>
      <c r="Z554" s="2556" t="s">
        <v>926</v>
      </c>
      <c r="AA554" s="2556" t="s">
        <v>927</v>
      </c>
      <c r="AB554" s="2556" t="s">
        <v>448</v>
      </c>
      <c r="AC554" s="2349" t="s">
        <v>509</v>
      </c>
      <c r="AD554" s="2350"/>
      <c r="AE554" s="2349" t="s">
        <v>510</v>
      </c>
      <c r="AF554" s="2350"/>
      <c r="AG554" s="2269"/>
      <c r="AH554" s="174"/>
      <c r="AI554" s="174"/>
      <c r="AJ554" s="174"/>
      <c r="AK554" s="148" t="s">
        <v>445</v>
      </c>
      <c r="AL554" s="174"/>
      <c r="AM554" s="174"/>
      <c r="AN554" s="188"/>
      <c r="AO554" s="189" t="s">
        <v>844</v>
      </c>
      <c r="AP554" s="184" t="s">
        <v>926</v>
      </c>
      <c r="AQ554" s="179" t="s">
        <v>927</v>
      </c>
      <c r="AR554" s="191" t="s">
        <v>448</v>
      </c>
      <c r="AS554" s="2349" t="s">
        <v>509</v>
      </c>
      <c r="AT554" s="2350"/>
      <c r="AU554" s="2349" t="s">
        <v>510</v>
      </c>
      <c r="AV554" s="2350"/>
      <c r="AW554" s="2269"/>
      <c r="AX554" s="174"/>
      <c r="AY554" s="174"/>
      <c r="AZ554" s="174"/>
      <c r="BA554" s="148" t="s">
        <v>445</v>
      </c>
      <c r="BB554" s="174"/>
      <c r="BC554" s="174"/>
      <c r="BD554" s="188"/>
      <c r="BE554" s="189" t="s">
        <v>844</v>
      </c>
      <c r="BF554" s="184" t="s">
        <v>926</v>
      </c>
      <c r="BG554" s="179" t="s">
        <v>927</v>
      </c>
      <c r="BH554" s="191" t="s">
        <v>448</v>
      </c>
      <c r="BI554" s="2349" t="s">
        <v>509</v>
      </c>
      <c r="BJ554" s="2350"/>
      <c r="BK554" s="2349" t="s">
        <v>510</v>
      </c>
      <c r="BL554" s="2350"/>
      <c r="BM554" s="2269"/>
      <c r="BN554" s="174"/>
      <c r="BO554" s="174"/>
      <c r="BP554" s="174"/>
      <c r="BQ554" s="148" t="s">
        <v>445</v>
      </c>
      <c r="BR554" s="174"/>
      <c r="BS554" s="174"/>
      <c r="BT554" s="188"/>
      <c r="BU554" s="189" t="s">
        <v>844</v>
      </c>
      <c r="BV554" s="184" t="s">
        <v>926</v>
      </c>
      <c r="BW554" s="179" t="s">
        <v>927</v>
      </c>
      <c r="BX554" s="191" t="s">
        <v>448</v>
      </c>
      <c r="BY554" s="2349" t="s">
        <v>509</v>
      </c>
      <c r="BZ554" s="2350"/>
      <c r="CA554" s="2349" t="s">
        <v>510</v>
      </c>
      <c r="CB554" s="2350"/>
      <c r="CC554" s="2269"/>
      <c r="CD554" s="174"/>
      <c r="CE554" s="174"/>
      <c r="CF554" s="174"/>
      <c r="CG554" s="148" t="s">
        <v>445</v>
      </c>
      <c r="CH554" s="174"/>
      <c r="CI554" s="174"/>
      <c r="CJ554" s="188"/>
      <c r="CK554" s="189" t="s">
        <v>844</v>
      </c>
      <c r="CL554" s="184" t="s">
        <v>926</v>
      </c>
      <c r="CM554" s="179" t="s">
        <v>927</v>
      </c>
      <c r="CN554" s="191" t="s">
        <v>448</v>
      </c>
      <c r="CO554" s="2349" t="s">
        <v>509</v>
      </c>
      <c r="CP554" s="2350"/>
      <c r="CQ554" s="2349" t="s">
        <v>510</v>
      </c>
      <c r="CR554" s="2350"/>
      <c r="CS554" s="2269"/>
      <c r="CT554" s="174"/>
      <c r="CU554" s="174"/>
      <c r="CV554" s="174"/>
      <c r="CW554" s="148" t="s">
        <v>445</v>
      </c>
      <c r="CX554" s="174"/>
      <c r="CY554" s="174"/>
      <c r="CZ554" s="188"/>
      <c r="DA554" s="189" t="s">
        <v>844</v>
      </c>
      <c r="DB554" s="184" t="s">
        <v>926</v>
      </c>
      <c r="DC554" s="179" t="s">
        <v>927</v>
      </c>
      <c r="DD554" s="191" t="s">
        <v>448</v>
      </c>
      <c r="DE554" s="2349" t="s">
        <v>509</v>
      </c>
      <c r="DF554" s="2350"/>
      <c r="DG554" s="2349" t="s">
        <v>510</v>
      </c>
      <c r="DH554" s="2350"/>
      <c r="DI554" s="2269"/>
      <c r="DJ554" s="174"/>
      <c r="DK554" s="174"/>
      <c r="DL554" s="174"/>
      <c r="DM554" s="148" t="s">
        <v>445</v>
      </c>
      <c r="DN554" s="174"/>
      <c r="DO554" s="174"/>
      <c r="DP554" s="188"/>
      <c r="DQ554" s="189" t="s">
        <v>844</v>
      </c>
      <c r="DR554" s="184" t="s">
        <v>926</v>
      </c>
      <c r="DS554" s="179" t="s">
        <v>927</v>
      </c>
      <c r="DT554" s="191" t="s">
        <v>448</v>
      </c>
      <c r="DU554" s="2349" t="s">
        <v>509</v>
      </c>
      <c r="DV554" s="2350"/>
      <c r="DW554" s="2349" t="s">
        <v>510</v>
      </c>
      <c r="DX554" s="2350"/>
      <c r="DY554" s="2269"/>
      <c r="DZ554" s="174"/>
      <c r="EA554" s="174"/>
      <c r="EB554" s="174"/>
      <c r="EC554" s="148" t="s">
        <v>445</v>
      </c>
      <c r="ED554" s="174"/>
      <c r="EE554" s="174"/>
      <c r="EF554" s="188"/>
      <c r="EG554" s="189" t="s">
        <v>844</v>
      </c>
      <c r="EH554" s="184" t="s">
        <v>926</v>
      </c>
      <c r="EI554" s="179" t="s">
        <v>927</v>
      </c>
      <c r="EJ554" s="191" t="s">
        <v>448</v>
      </c>
      <c r="EK554" s="2349" t="s">
        <v>509</v>
      </c>
      <c r="EL554" s="2350"/>
      <c r="EM554" s="2349" t="s">
        <v>510</v>
      </c>
      <c r="EN554" s="2350"/>
      <c r="EO554" s="2269"/>
      <c r="EP554" s="174"/>
      <c r="EQ554" s="174"/>
      <c r="ER554" s="174"/>
      <c r="ES554" s="148" t="s">
        <v>445</v>
      </c>
      <c r="ET554" s="174"/>
      <c r="EU554" s="174"/>
      <c r="EV554" s="188"/>
      <c r="EW554" s="189" t="s">
        <v>844</v>
      </c>
      <c r="EX554" s="184" t="s">
        <v>926</v>
      </c>
      <c r="EY554" s="179" t="s">
        <v>927</v>
      </c>
      <c r="EZ554" s="191" t="s">
        <v>448</v>
      </c>
      <c r="FA554" s="2349" t="s">
        <v>509</v>
      </c>
      <c r="FB554" s="2350"/>
      <c r="FC554" s="2349" t="s">
        <v>510</v>
      </c>
      <c r="FD554" s="2350"/>
      <c r="FE554" s="2269"/>
      <c r="FF554" s="174"/>
      <c r="FG554" s="174"/>
      <c r="FH554" s="174"/>
      <c r="FI554" s="148" t="s">
        <v>445</v>
      </c>
      <c r="FJ554" s="174"/>
      <c r="FK554" s="174"/>
      <c r="FL554" s="188"/>
      <c r="FM554" s="189" t="s">
        <v>844</v>
      </c>
      <c r="FN554" s="184" t="s">
        <v>926</v>
      </c>
      <c r="FO554" s="179" t="s">
        <v>927</v>
      </c>
      <c r="FP554" s="191" t="s">
        <v>448</v>
      </c>
      <c r="FQ554" s="2349" t="s">
        <v>509</v>
      </c>
      <c r="FR554" s="2350"/>
      <c r="FS554" s="2349" t="s">
        <v>510</v>
      </c>
      <c r="FT554" s="2350"/>
      <c r="FU554" s="2269"/>
      <c r="FV554" s="174"/>
      <c r="FW554" s="174"/>
      <c r="FX554" s="174"/>
      <c r="FY554" s="148" t="s">
        <v>445</v>
      </c>
      <c r="FZ554" s="174"/>
      <c r="GA554" s="174"/>
      <c r="GB554" s="188"/>
      <c r="GC554" s="189" t="s">
        <v>844</v>
      </c>
      <c r="GD554" s="184" t="s">
        <v>926</v>
      </c>
      <c r="GE554" s="179" t="s">
        <v>927</v>
      </c>
      <c r="GF554" s="191" t="s">
        <v>448</v>
      </c>
      <c r="GG554" s="2349" t="s">
        <v>509</v>
      </c>
      <c r="GH554" s="2350"/>
      <c r="GI554" s="2349" t="s">
        <v>510</v>
      </c>
      <c r="GJ554" s="2350"/>
      <c r="GK554" s="2269"/>
      <c r="GL554" s="174"/>
      <c r="GM554" s="174"/>
      <c r="GN554" s="174"/>
      <c r="GO554" s="148" t="s">
        <v>445</v>
      </c>
      <c r="GP554" s="174"/>
      <c r="GQ554" s="174"/>
      <c r="GR554" s="188"/>
      <c r="GS554" s="189" t="s">
        <v>844</v>
      </c>
      <c r="GT554" s="184" t="s">
        <v>926</v>
      </c>
      <c r="GU554" s="179" t="s">
        <v>927</v>
      </c>
      <c r="GV554" s="191" t="s">
        <v>448</v>
      </c>
      <c r="GW554" s="2349" t="s">
        <v>509</v>
      </c>
      <c r="GX554" s="2350"/>
      <c r="GY554" s="2349" t="s">
        <v>510</v>
      </c>
      <c r="GZ554" s="2350"/>
      <c r="HA554" s="2269"/>
      <c r="HB554" s="174"/>
      <c r="HC554" s="174"/>
      <c r="HD554" s="174"/>
      <c r="HE554" s="148" t="s">
        <v>445</v>
      </c>
      <c r="HF554" s="174"/>
      <c r="HG554" s="174"/>
      <c r="HH554" s="188"/>
      <c r="HI554" s="189" t="s">
        <v>844</v>
      </c>
      <c r="HJ554" s="184" t="s">
        <v>926</v>
      </c>
      <c r="HK554" s="179" t="s">
        <v>927</v>
      </c>
      <c r="HL554" s="191" t="s">
        <v>448</v>
      </c>
      <c r="HM554" s="2349" t="s">
        <v>509</v>
      </c>
      <c r="HN554" s="2350"/>
      <c r="HO554" s="2349" t="s">
        <v>510</v>
      </c>
      <c r="HP554" s="2350"/>
      <c r="HQ554" s="2269"/>
      <c r="HR554" s="174"/>
      <c r="HS554" s="174"/>
      <c r="HT554" s="174"/>
      <c r="HU554" s="148" t="s">
        <v>445</v>
      </c>
      <c r="HV554" s="174"/>
      <c r="HW554" s="174"/>
      <c r="HX554" s="188"/>
      <c r="HY554" s="189" t="s">
        <v>844</v>
      </c>
      <c r="HZ554" s="184" t="s">
        <v>926</v>
      </c>
      <c r="IA554" s="179" t="s">
        <v>927</v>
      </c>
      <c r="IB554" s="191" t="s">
        <v>448</v>
      </c>
      <c r="IC554" s="2349" t="s">
        <v>509</v>
      </c>
      <c r="ID554" s="2350"/>
      <c r="IE554" s="2349" t="s">
        <v>510</v>
      </c>
      <c r="IF554" s="2350"/>
      <c r="IG554" s="2269"/>
      <c r="IH554" s="174"/>
      <c r="II554" s="174"/>
      <c r="IJ554" s="174"/>
      <c r="IK554" s="148" t="s">
        <v>445</v>
      </c>
      <c r="IL554" s="174"/>
      <c r="IM554" s="174"/>
      <c r="IN554" s="188"/>
      <c r="IO554" s="189" t="s">
        <v>844</v>
      </c>
      <c r="IP554" s="184" t="s">
        <v>926</v>
      </c>
      <c r="IQ554" s="179" t="s">
        <v>927</v>
      </c>
      <c r="IR554" s="191" t="s">
        <v>448</v>
      </c>
      <c r="IS554" s="2349" t="s">
        <v>509</v>
      </c>
      <c r="IT554" s="2350"/>
      <c r="IU554" s="2349" t="s">
        <v>510</v>
      </c>
      <c r="IV554" s="2350"/>
    </row>
    <row r="555" spans="1:256" s="177" customFormat="1" ht="15.75">
      <c r="A555" s="2269"/>
      <c r="B555" s="148"/>
      <c r="C555" s="148"/>
      <c r="D555" s="148"/>
      <c r="E555" s="148"/>
      <c r="F555" s="174"/>
      <c r="G555" s="174"/>
      <c r="H555" s="189"/>
      <c r="I555" s="189" t="s">
        <v>928</v>
      </c>
      <c r="J555" s="194" t="s">
        <v>929</v>
      </c>
      <c r="K555" s="187" t="s">
        <v>930</v>
      </c>
      <c r="L555" s="191" t="s">
        <v>452</v>
      </c>
      <c r="M555" s="1564" t="s">
        <v>926</v>
      </c>
      <c r="N555" s="1561" t="s">
        <v>927</v>
      </c>
      <c r="O555" s="1560" t="s">
        <v>926</v>
      </c>
      <c r="P555" s="1564" t="s">
        <v>927</v>
      </c>
      <c r="Q555" s="2572"/>
      <c r="R555" s="2556"/>
      <c r="S555" s="2556"/>
      <c r="T555" s="2556"/>
      <c r="U555" s="2556"/>
      <c r="V555" s="2563"/>
      <c r="W555" s="2563"/>
      <c r="X555" s="2556"/>
      <c r="Y555" s="2556" t="s">
        <v>928</v>
      </c>
      <c r="Z555" s="2556" t="s">
        <v>929</v>
      </c>
      <c r="AA555" s="2556" t="s">
        <v>930</v>
      </c>
      <c r="AB555" s="2556" t="s">
        <v>452</v>
      </c>
      <c r="AC555" s="2142" t="s">
        <v>926</v>
      </c>
      <c r="AD555" s="1561" t="s">
        <v>927</v>
      </c>
      <c r="AE555" s="1560" t="s">
        <v>926</v>
      </c>
      <c r="AF555" s="1564" t="s">
        <v>927</v>
      </c>
      <c r="AG555" s="2269"/>
      <c r="AH555" s="148"/>
      <c r="AI555" s="148"/>
      <c r="AJ555" s="148"/>
      <c r="AK555" s="148"/>
      <c r="AL555" s="174"/>
      <c r="AM555" s="174"/>
      <c r="AN555" s="189"/>
      <c r="AO555" s="189" t="s">
        <v>928</v>
      </c>
      <c r="AP555" s="194" t="s">
        <v>929</v>
      </c>
      <c r="AQ555" s="187" t="s">
        <v>930</v>
      </c>
      <c r="AR555" s="191" t="s">
        <v>452</v>
      </c>
      <c r="AS555" s="1564" t="s">
        <v>926</v>
      </c>
      <c r="AT555" s="1561" t="s">
        <v>927</v>
      </c>
      <c r="AU555" s="1560" t="s">
        <v>926</v>
      </c>
      <c r="AV555" s="1564" t="s">
        <v>927</v>
      </c>
      <c r="AW555" s="2269"/>
      <c r="AX555" s="148"/>
      <c r="AY555" s="148"/>
      <c r="AZ555" s="148"/>
      <c r="BA555" s="148"/>
      <c r="BB555" s="174"/>
      <c r="BC555" s="174"/>
      <c r="BD555" s="189"/>
      <c r="BE555" s="189" t="s">
        <v>928</v>
      </c>
      <c r="BF555" s="194" t="s">
        <v>929</v>
      </c>
      <c r="BG555" s="187" t="s">
        <v>930</v>
      </c>
      <c r="BH555" s="191" t="s">
        <v>452</v>
      </c>
      <c r="BI555" s="1564" t="s">
        <v>926</v>
      </c>
      <c r="BJ555" s="1561" t="s">
        <v>927</v>
      </c>
      <c r="BK555" s="1560" t="s">
        <v>926</v>
      </c>
      <c r="BL555" s="1564" t="s">
        <v>927</v>
      </c>
      <c r="BM555" s="2269"/>
      <c r="BN555" s="148"/>
      <c r="BO555" s="148"/>
      <c r="BP555" s="148"/>
      <c r="BQ555" s="148"/>
      <c r="BR555" s="174"/>
      <c r="BS555" s="174"/>
      <c r="BT555" s="189"/>
      <c r="BU555" s="189" t="s">
        <v>928</v>
      </c>
      <c r="BV555" s="194" t="s">
        <v>929</v>
      </c>
      <c r="BW555" s="187" t="s">
        <v>930</v>
      </c>
      <c r="BX555" s="191" t="s">
        <v>452</v>
      </c>
      <c r="BY555" s="1564" t="s">
        <v>926</v>
      </c>
      <c r="BZ555" s="1561" t="s">
        <v>927</v>
      </c>
      <c r="CA555" s="1560" t="s">
        <v>926</v>
      </c>
      <c r="CB555" s="1564" t="s">
        <v>927</v>
      </c>
      <c r="CC555" s="2269"/>
      <c r="CD555" s="148"/>
      <c r="CE555" s="148"/>
      <c r="CF555" s="148"/>
      <c r="CG555" s="148"/>
      <c r="CH555" s="174"/>
      <c r="CI555" s="174"/>
      <c r="CJ555" s="189"/>
      <c r="CK555" s="189" t="s">
        <v>928</v>
      </c>
      <c r="CL555" s="194" t="s">
        <v>929</v>
      </c>
      <c r="CM555" s="187" t="s">
        <v>930</v>
      </c>
      <c r="CN555" s="191" t="s">
        <v>452</v>
      </c>
      <c r="CO555" s="1564" t="s">
        <v>926</v>
      </c>
      <c r="CP555" s="1561" t="s">
        <v>927</v>
      </c>
      <c r="CQ555" s="1560" t="s">
        <v>926</v>
      </c>
      <c r="CR555" s="1564" t="s">
        <v>927</v>
      </c>
      <c r="CS555" s="2269"/>
      <c r="CT555" s="148"/>
      <c r="CU555" s="148"/>
      <c r="CV555" s="148"/>
      <c r="CW555" s="148"/>
      <c r="CX555" s="174"/>
      <c r="CY555" s="174"/>
      <c r="CZ555" s="189"/>
      <c r="DA555" s="189" t="s">
        <v>928</v>
      </c>
      <c r="DB555" s="194" t="s">
        <v>929</v>
      </c>
      <c r="DC555" s="187" t="s">
        <v>930</v>
      </c>
      <c r="DD555" s="191" t="s">
        <v>452</v>
      </c>
      <c r="DE555" s="1564" t="s">
        <v>926</v>
      </c>
      <c r="DF555" s="1561" t="s">
        <v>927</v>
      </c>
      <c r="DG555" s="1560" t="s">
        <v>926</v>
      </c>
      <c r="DH555" s="1564" t="s">
        <v>927</v>
      </c>
      <c r="DI555" s="2269"/>
      <c r="DJ555" s="148"/>
      <c r="DK555" s="148"/>
      <c r="DL555" s="148"/>
      <c r="DM555" s="148"/>
      <c r="DN555" s="174"/>
      <c r="DO555" s="174"/>
      <c r="DP555" s="189"/>
      <c r="DQ555" s="189" t="s">
        <v>928</v>
      </c>
      <c r="DR555" s="194" t="s">
        <v>929</v>
      </c>
      <c r="DS555" s="187" t="s">
        <v>930</v>
      </c>
      <c r="DT555" s="191" t="s">
        <v>452</v>
      </c>
      <c r="DU555" s="1564" t="s">
        <v>926</v>
      </c>
      <c r="DV555" s="1561" t="s">
        <v>927</v>
      </c>
      <c r="DW555" s="1560" t="s">
        <v>926</v>
      </c>
      <c r="DX555" s="1564" t="s">
        <v>927</v>
      </c>
      <c r="DY555" s="2269"/>
      <c r="DZ555" s="148"/>
      <c r="EA555" s="148"/>
      <c r="EB555" s="148"/>
      <c r="EC555" s="148"/>
      <c r="ED555" s="174"/>
      <c r="EE555" s="174"/>
      <c r="EF555" s="189"/>
      <c r="EG555" s="189" t="s">
        <v>928</v>
      </c>
      <c r="EH555" s="194" t="s">
        <v>929</v>
      </c>
      <c r="EI555" s="187" t="s">
        <v>930</v>
      </c>
      <c r="EJ555" s="191" t="s">
        <v>452</v>
      </c>
      <c r="EK555" s="1564" t="s">
        <v>926</v>
      </c>
      <c r="EL555" s="1561" t="s">
        <v>927</v>
      </c>
      <c r="EM555" s="1560" t="s">
        <v>926</v>
      </c>
      <c r="EN555" s="1564" t="s">
        <v>927</v>
      </c>
      <c r="EO555" s="2269"/>
      <c r="EP555" s="148"/>
      <c r="EQ555" s="148"/>
      <c r="ER555" s="148"/>
      <c r="ES555" s="148"/>
      <c r="ET555" s="174"/>
      <c r="EU555" s="174"/>
      <c r="EV555" s="189"/>
      <c r="EW555" s="189" t="s">
        <v>928</v>
      </c>
      <c r="EX555" s="194" t="s">
        <v>929</v>
      </c>
      <c r="EY555" s="187" t="s">
        <v>930</v>
      </c>
      <c r="EZ555" s="191" t="s">
        <v>452</v>
      </c>
      <c r="FA555" s="1564" t="s">
        <v>926</v>
      </c>
      <c r="FB555" s="1561" t="s">
        <v>927</v>
      </c>
      <c r="FC555" s="1560" t="s">
        <v>926</v>
      </c>
      <c r="FD555" s="1564" t="s">
        <v>927</v>
      </c>
      <c r="FE555" s="2269"/>
      <c r="FF555" s="148"/>
      <c r="FG555" s="148"/>
      <c r="FH555" s="148"/>
      <c r="FI555" s="148"/>
      <c r="FJ555" s="174"/>
      <c r="FK555" s="174"/>
      <c r="FL555" s="189"/>
      <c r="FM555" s="189" t="s">
        <v>928</v>
      </c>
      <c r="FN555" s="194" t="s">
        <v>929</v>
      </c>
      <c r="FO555" s="187" t="s">
        <v>930</v>
      </c>
      <c r="FP555" s="191" t="s">
        <v>452</v>
      </c>
      <c r="FQ555" s="1564" t="s">
        <v>926</v>
      </c>
      <c r="FR555" s="1561" t="s">
        <v>927</v>
      </c>
      <c r="FS555" s="1560" t="s">
        <v>926</v>
      </c>
      <c r="FT555" s="1564" t="s">
        <v>927</v>
      </c>
      <c r="FU555" s="2269"/>
      <c r="FV555" s="148"/>
      <c r="FW555" s="148"/>
      <c r="FX555" s="148"/>
      <c r="FY555" s="148"/>
      <c r="FZ555" s="174"/>
      <c r="GA555" s="174"/>
      <c r="GB555" s="189"/>
      <c r="GC555" s="189" t="s">
        <v>928</v>
      </c>
      <c r="GD555" s="194" t="s">
        <v>929</v>
      </c>
      <c r="GE555" s="187" t="s">
        <v>930</v>
      </c>
      <c r="GF555" s="191" t="s">
        <v>452</v>
      </c>
      <c r="GG555" s="1564" t="s">
        <v>926</v>
      </c>
      <c r="GH555" s="1561" t="s">
        <v>927</v>
      </c>
      <c r="GI555" s="1560" t="s">
        <v>926</v>
      </c>
      <c r="GJ555" s="1564" t="s">
        <v>927</v>
      </c>
      <c r="GK555" s="2269"/>
      <c r="GL555" s="148"/>
      <c r="GM555" s="148"/>
      <c r="GN555" s="148"/>
      <c r="GO555" s="148"/>
      <c r="GP555" s="174"/>
      <c r="GQ555" s="174"/>
      <c r="GR555" s="189"/>
      <c r="GS555" s="189" t="s">
        <v>928</v>
      </c>
      <c r="GT555" s="194" t="s">
        <v>929</v>
      </c>
      <c r="GU555" s="187" t="s">
        <v>930</v>
      </c>
      <c r="GV555" s="191" t="s">
        <v>452</v>
      </c>
      <c r="GW555" s="1564" t="s">
        <v>926</v>
      </c>
      <c r="GX555" s="1561" t="s">
        <v>927</v>
      </c>
      <c r="GY555" s="1560" t="s">
        <v>926</v>
      </c>
      <c r="GZ555" s="1564" t="s">
        <v>927</v>
      </c>
      <c r="HA555" s="2269"/>
      <c r="HB555" s="148"/>
      <c r="HC555" s="148"/>
      <c r="HD555" s="148"/>
      <c r="HE555" s="148"/>
      <c r="HF555" s="174"/>
      <c r="HG555" s="174"/>
      <c r="HH555" s="189"/>
      <c r="HI555" s="189" t="s">
        <v>928</v>
      </c>
      <c r="HJ555" s="194" t="s">
        <v>929</v>
      </c>
      <c r="HK555" s="187" t="s">
        <v>930</v>
      </c>
      <c r="HL555" s="191" t="s">
        <v>452</v>
      </c>
      <c r="HM555" s="1564" t="s">
        <v>926</v>
      </c>
      <c r="HN555" s="1561" t="s">
        <v>927</v>
      </c>
      <c r="HO555" s="1560" t="s">
        <v>926</v>
      </c>
      <c r="HP555" s="1564" t="s">
        <v>927</v>
      </c>
      <c r="HQ555" s="2269"/>
      <c r="HR555" s="148"/>
      <c r="HS555" s="148"/>
      <c r="HT555" s="148"/>
      <c r="HU555" s="148"/>
      <c r="HV555" s="174"/>
      <c r="HW555" s="174"/>
      <c r="HX555" s="189"/>
      <c r="HY555" s="189" t="s">
        <v>928</v>
      </c>
      <c r="HZ555" s="194" t="s">
        <v>929</v>
      </c>
      <c r="IA555" s="187" t="s">
        <v>930</v>
      </c>
      <c r="IB555" s="191" t="s">
        <v>452</v>
      </c>
      <c r="IC555" s="1564" t="s">
        <v>926</v>
      </c>
      <c r="ID555" s="1561" t="s">
        <v>927</v>
      </c>
      <c r="IE555" s="1560" t="s">
        <v>926</v>
      </c>
      <c r="IF555" s="1564" t="s">
        <v>927</v>
      </c>
      <c r="IG555" s="2269"/>
      <c r="IH555" s="148"/>
      <c r="II555" s="148"/>
      <c r="IJ555" s="148"/>
      <c r="IK555" s="148"/>
      <c r="IL555" s="174"/>
      <c r="IM555" s="174"/>
      <c r="IN555" s="189"/>
      <c r="IO555" s="189" t="s">
        <v>928</v>
      </c>
      <c r="IP555" s="194" t="s">
        <v>929</v>
      </c>
      <c r="IQ555" s="187" t="s">
        <v>930</v>
      </c>
      <c r="IR555" s="191" t="s">
        <v>452</v>
      </c>
      <c r="IS555" s="1564" t="s">
        <v>926</v>
      </c>
      <c r="IT555" s="1561" t="s">
        <v>927</v>
      </c>
      <c r="IU555" s="1560" t="s">
        <v>926</v>
      </c>
      <c r="IV555" s="1564" t="s">
        <v>927</v>
      </c>
    </row>
    <row r="556" spans="1:256" s="177" customFormat="1" ht="15.75">
      <c r="A556" s="2269"/>
      <c r="B556" s="174"/>
      <c r="C556" s="174"/>
      <c r="D556" s="174"/>
      <c r="E556" s="174"/>
      <c r="F556" s="174"/>
      <c r="G556" s="148"/>
      <c r="H556" s="189"/>
      <c r="I556" s="189" t="s">
        <v>931</v>
      </c>
      <c r="J556" s="194"/>
      <c r="K556" s="187" t="s">
        <v>932</v>
      </c>
      <c r="L556" s="199"/>
      <c r="M556" s="1565" t="s">
        <v>929</v>
      </c>
      <c r="N556" s="169" t="s">
        <v>930</v>
      </c>
      <c r="O556" s="1566" t="s">
        <v>929</v>
      </c>
      <c r="P556" s="1565" t="s">
        <v>930</v>
      </c>
      <c r="Q556" s="2572"/>
      <c r="R556" s="2563"/>
      <c r="S556" s="2563"/>
      <c r="T556" s="2563"/>
      <c r="U556" s="2563"/>
      <c r="V556" s="2563"/>
      <c r="W556" s="2556"/>
      <c r="X556" s="2556"/>
      <c r="Y556" s="2556" t="s">
        <v>931</v>
      </c>
      <c r="Z556" s="2556"/>
      <c r="AA556" s="2556" t="s">
        <v>932</v>
      </c>
      <c r="AB556" s="2576"/>
      <c r="AC556" s="2574" t="s">
        <v>929</v>
      </c>
      <c r="AD556" s="169" t="s">
        <v>930</v>
      </c>
      <c r="AE556" s="1566" t="s">
        <v>929</v>
      </c>
      <c r="AF556" s="1565" t="s">
        <v>930</v>
      </c>
      <c r="AG556" s="2269"/>
      <c r="AH556" s="174"/>
      <c r="AI556" s="174"/>
      <c r="AJ556" s="174"/>
      <c r="AK556" s="174"/>
      <c r="AL556" s="174"/>
      <c r="AM556" s="148"/>
      <c r="AN556" s="189"/>
      <c r="AO556" s="189" t="s">
        <v>931</v>
      </c>
      <c r="AP556" s="194"/>
      <c r="AQ556" s="187" t="s">
        <v>932</v>
      </c>
      <c r="AR556" s="199"/>
      <c r="AS556" s="1565" t="s">
        <v>929</v>
      </c>
      <c r="AT556" s="169" t="s">
        <v>930</v>
      </c>
      <c r="AU556" s="1566" t="s">
        <v>929</v>
      </c>
      <c r="AV556" s="1565" t="s">
        <v>930</v>
      </c>
      <c r="AW556" s="2269"/>
      <c r="AX556" s="174"/>
      <c r="AY556" s="174"/>
      <c r="AZ556" s="174"/>
      <c r="BA556" s="174"/>
      <c r="BB556" s="174"/>
      <c r="BC556" s="148"/>
      <c r="BD556" s="189"/>
      <c r="BE556" s="189" t="s">
        <v>931</v>
      </c>
      <c r="BF556" s="194"/>
      <c r="BG556" s="187" t="s">
        <v>932</v>
      </c>
      <c r="BH556" s="199"/>
      <c r="BI556" s="1565" t="s">
        <v>929</v>
      </c>
      <c r="BJ556" s="169" t="s">
        <v>930</v>
      </c>
      <c r="BK556" s="1566" t="s">
        <v>929</v>
      </c>
      <c r="BL556" s="1565" t="s">
        <v>930</v>
      </c>
      <c r="BM556" s="2269"/>
      <c r="BN556" s="174"/>
      <c r="BO556" s="174"/>
      <c r="BP556" s="174"/>
      <c r="BQ556" s="174"/>
      <c r="BR556" s="174"/>
      <c r="BS556" s="148"/>
      <c r="BT556" s="189"/>
      <c r="BU556" s="189" t="s">
        <v>931</v>
      </c>
      <c r="BV556" s="194"/>
      <c r="BW556" s="187" t="s">
        <v>932</v>
      </c>
      <c r="BX556" s="199"/>
      <c r="BY556" s="1565" t="s">
        <v>929</v>
      </c>
      <c r="BZ556" s="169" t="s">
        <v>930</v>
      </c>
      <c r="CA556" s="1566" t="s">
        <v>929</v>
      </c>
      <c r="CB556" s="1565" t="s">
        <v>930</v>
      </c>
      <c r="CC556" s="2269"/>
      <c r="CD556" s="174"/>
      <c r="CE556" s="174"/>
      <c r="CF556" s="174"/>
      <c r="CG556" s="174"/>
      <c r="CH556" s="174"/>
      <c r="CI556" s="148"/>
      <c r="CJ556" s="189"/>
      <c r="CK556" s="189" t="s">
        <v>931</v>
      </c>
      <c r="CL556" s="194"/>
      <c r="CM556" s="187" t="s">
        <v>932</v>
      </c>
      <c r="CN556" s="199"/>
      <c r="CO556" s="1565" t="s">
        <v>929</v>
      </c>
      <c r="CP556" s="169" t="s">
        <v>930</v>
      </c>
      <c r="CQ556" s="1566" t="s">
        <v>929</v>
      </c>
      <c r="CR556" s="1565" t="s">
        <v>930</v>
      </c>
      <c r="CS556" s="2269"/>
      <c r="CT556" s="174"/>
      <c r="CU556" s="174"/>
      <c r="CV556" s="174"/>
      <c r="CW556" s="174"/>
      <c r="CX556" s="174"/>
      <c r="CY556" s="148"/>
      <c r="CZ556" s="189"/>
      <c r="DA556" s="189" t="s">
        <v>931</v>
      </c>
      <c r="DB556" s="194"/>
      <c r="DC556" s="187" t="s">
        <v>932</v>
      </c>
      <c r="DD556" s="199"/>
      <c r="DE556" s="1565" t="s">
        <v>929</v>
      </c>
      <c r="DF556" s="169" t="s">
        <v>930</v>
      </c>
      <c r="DG556" s="1566" t="s">
        <v>929</v>
      </c>
      <c r="DH556" s="1565" t="s">
        <v>930</v>
      </c>
      <c r="DI556" s="2269"/>
      <c r="DJ556" s="174"/>
      <c r="DK556" s="174"/>
      <c r="DL556" s="174"/>
      <c r="DM556" s="174"/>
      <c r="DN556" s="174"/>
      <c r="DO556" s="148"/>
      <c r="DP556" s="189"/>
      <c r="DQ556" s="189" t="s">
        <v>931</v>
      </c>
      <c r="DR556" s="194"/>
      <c r="DS556" s="187" t="s">
        <v>932</v>
      </c>
      <c r="DT556" s="199"/>
      <c r="DU556" s="1565" t="s">
        <v>929</v>
      </c>
      <c r="DV556" s="169" t="s">
        <v>930</v>
      </c>
      <c r="DW556" s="1566" t="s">
        <v>929</v>
      </c>
      <c r="DX556" s="1565" t="s">
        <v>930</v>
      </c>
      <c r="DY556" s="2269"/>
      <c r="DZ556" s="174"/>
      <c r="EA556" s="174"/>
      <c r="EB556" s="174"/>
      <c r="EC556" s="174"/>
      <c r="ED556" s="174"/>
      <c r="EE556" s="148"/>
      <c r="EF556" s="189"/>
      <c r="EG556" s="189" t="s">
        <v>931</v>
      </c>
      <c r="EH556" s="194"/>
      <c r="EI556" s="187" t="s">
        <v>932</v>
      </c>
      <c r="EJ556" s="199"/>
      <c r="EK556" s="1565" t="s">
        <v>929</v>
      </c>
      <c r="EL556" s="169" t="s">
        <v>930</v>
      </c>
      <c r="EM556" s="1566" t="s">
        <v>929</v>
      </c>
      <c r="EN556" s="1565" t="s">
        <v>930</v>
      </c>
      <c r="EO556" s="2269"/>
      <c r="EP556" s="174"/>
      <c r="EQ556" s="174"/>
      <c r="ER556" s="174"/>
      <c r="ES556" s="174"/>
      <c r="ET556" s="174"/>
      <c r="EU556" s="148"/>
      <c r="EV556" s="189"/>
      <c r="EW556" s="189" t="s">
        <v>931</v>
      </c>
      <c r="EX556" s="194"/>
      <c r="EY556" s="187" t="s">
        <v>932</v>
      </c>
      <c r="EZ556" s="199"/>
      <c r="FA556" s="1565" t="s">
        <v>929</v>
      </c>
      <c r="FB556" s="169" t="s">
        <v>930</v>
      </c>
      <c r="FC556" s="1566" t="s">
        <v>929</v>
      </c>
      <c r="FD556" s="1565" t="s">
        <v>930</v>
      </c>
      <c r="FE556" s="2269"/>
      <c r="FF556" s="174"/>
      <c r="FG556" s="174"/>
      <c r="FH556" s="174"/>
      <c r="FI556" s="174"/>
      <c r="FJ556" s="174"/>
      <c r="FK556" s="148"/>
      <c r="FL556" s="189"/>
      <c r="FM556" s="189" t="s">
        <v>931</v>
      </c>
      <c r="FN556" s="194"/>
      <c r="FO556" s="187" t="s">
        <v>932</v>
      </c>
      <c r="FP556" s="199"/>
      <c r="FQ556" s="1565" t="s">
        <v>929</v>
      </c>
      <c r="FR556" s="169" t="s">
        <v>930</v>
      </c>
      <c r="FS556" s="1566" t="s">
        <v>929</v>
      </c>
      <c r="FT556" s="1565" t="s">
        <v>930</v>
      </c>
      <c r="FU556" s="2269"/>
      <c r="FV556" s="174"/>
      <c r="FW556" s="174"/>
      <c r="FX556" s="174"/>
      <c r="FY556" s="174"/>
      <c r="FZ556" s="174"/>
      <c r="GA556" s="148"/>
      <c r="GB556" s="189"/>
      <c r="GC556" s="189" t="s">
        <v>931</v>
      </c>
      <c r="GD556" s="194"/>
      <c r="GE556" s="187" t="s">
        <v>932</v>
      </c>
      <c r="GF556" s="199"/>
      <c r="GG556" s="1565" t="s">
        <v>929</v>
      </c>
      <c r="GH556" s="169" t="s">
        <v>930</v>
      </c>
      <c r="GI556" s="1566" t="s">
        <v>929</v>
      </c>
      <c r="GJ556" s="1565" t="s">
        <v>930</v>
      </c>
      <c r="GK556" s="2269"/>
      <c r="GL556" s="174"/>
      <c r="GM556" s="174"/>
      <c r="GN556" s="174"/>
      <c r="GO556" s="174"/>
      <c r="GP556" s="174"/>
      <c r="GQ556" s="148"/>
      <c r="GR556" s="189"/>
      <c r="GS556" s="189" t="s">
        <v>931</v>
      </c>
      <c r="GT556" s="194"/>
      <c r="GU556" s="187" t="s">
        <v>932</v>
      </c>
      <c r="GV556" s="199"/>
      <c r="GW556" s="1565" t="s">
        <v>929</v>
      </c>
      <c r="GX556" s="169" t="s">
        <v>930</v>
      </c>
      <c r="GY556" s="1566" t="s">
        <v>929</v>
      </c>
      <c r="GZ556" s="1565" t="s">
        <v>930</v>
      </c>
      <c r="HA556" s="2269"/>
      <c r="HB556" s="174"/>
      <c r="HC556" s="174"/>
      <c r="HD556" s="174"/>
      <c r="HE556" s="174"/>
      <c r="HF556" s="174"/>
      <c r="HG556" s="148"/>
      <c r="HH556" s="189"/>
      <c r="HI556" s="189" t="s">
        <v>931</v>
      </c>
      <c r="HJ556" s="194"/>
      <c r="HK556" s="187" t="s">
        <v>932</v>
      </c>
      <c r="HL556" s="199"/>
      <c r="HM556" s="1565" t="s">
        <v>929</v>
      </c>
      <c r="HN556" s="169" t="s">
        <v>930</v>
      </c>
      <c r="HO556" s="1566" t="s">
        <v>929</v>
      </c>
      <c r="HP556" s="1565" t="s">
        <v>930</v>
      </c>
      <c r="HQ556" s="2269"/>
      <c r="HR556" s="174"/>
      <c r="HS556" s="174"/>
      <c r="HT556" s="174"/>
      <c r="HU556" s="174"/>
      <c r="HV556" s="174"/>
      <c r="HW556" s="148"/>
      <c r="HX556" s="189"/>
      <c r="HY556" s="189" t="s">
        <v>931</v>
      </c>
      <c r="HZ556" s="194"/>
      <c r="IA556" s="187" t="s">
        <v>932</v>
      </c>
      <c r="IB556" s="199"/>
      <c r="IC556" s="1565" t="s">
        <v>929</v>
      </c>
      <c r="ID556" s="169" t="s">
        <v>930</v>
      </c>
      <c r="IE556" s="1566" t="s">
        <v>929</v>
      </c>
      <c r="IF556" s="1565" t="s">
        <v>930</v>
      </c>
      <c r="IG556" s="2269"/>
      <c r="IH556" s="174"/>
      <c r="II556" s="174"/>
      <c r="IJ556" s="174"/>
      <c r="IK556" s="174"/>
      <c r="IL556" s="174"/>
      <c r="IM556" s="148"/>
      <c r="IN556" s="189"/>
      <c r="IO556" s="189" t="s">
        <v>931</v>
      </c>
      <c r="IP556" s="194"/>
      <c r="IQ556" s="187" t="s">
        <v>932</v>
      </c>
      <c r="IR556" s="199"/>
      <c r="IS556" s="1565" t="s">
        <v>929</v>
      </c>
      <c r="IT556" s="169" t="s">
        <v>930</v>
      </c>
      <c r="IU556" s="1566" t="s">
        <v>929</v>
      </c>
      <c r="IV556" s="1565" t="s">
        <v>930</v>
      </c>
    </row>
    <row r="557" spans="1:256" s="177" customFormat="1" ht="15.75">
      <c r="A557" s="2269"/>
      <c r="B557" s="174"/>
      <c r="C557" s="174"/>
      <c r="D557" s="174"/>
      <c r="E557" s="174"/>
      <c r="F557" s="174"/>
      <c r="G557" s="148"/>
      <c r="H557" s="189"/>
      <c r="I557" s="189"/>
      <c r="J557" s="194"/>
      <c r="K557" s="187"/>
      <c r="L557" s="199"/>
      <c r="M557" s="1565"/>
      <c r="N557" s="169" t="s">
        <v>932</v>
      </c>
      <c r="O557" s="1566"/>
      <c r="P557" s="1565" t="s">
        <v>932</v>
      </c>
      <c r="Q557" s="2572"/>
      <c r="R557" s="2563"/>
      <c r="S557" s="2563"/>
      <c r="T557" s="2563"/>
      <c r="U557" s="2563"/>
      <c r="V557" s="2563"/>
      <c r="W557" s="2556"/>
      <c r="X557" s="2556"/>
      <c r="Y557" s="2556"/>
      <c r="Z557" s="2556"/>
      <c r="AA557" s="2556"/>
      <c r="AB557" s="2576"/>
      <c r="AC557" s="2574"/>
      <c r="AD557" s="169" t="s">
        <v>932</v>
      </c>
      <c r="AE557" s="1566"/>
      <c r="AF557" s="1565" t="s">
        <v>932</v>
      </c>
      <c r="AG557" s="2269"/>
      <c r="AH557" s="174"/>
      <c r="AI557" s="174"/>
      <c r="AJ557" s="174"/>
      <c r="AK557" s="174"/>
      <c r="AL557" s="174"/>
      <c r="AM557" s="148"/>
      <c r="AN557" s="189"/>
      <c r="AO557" s="189"/>
      <c r="AP557" s="194"/>
      <c r="AQ557" s="187"/>
      <c r="AR557" s="199"/>
      <c r="AS557" s="1565"/>
      <c r="AT557" s="169" t="s">
        <v>932</v>
      </c>
      <c r="AU557" s="1566"/>
      <c r="AV557" s="1565" t="s">
        <v>932</v>
      </c>
      <c r="AW557" s="2269"/>
      <c r="AX557" s="174"/>
      <c r="AY557" s="174"/>
      <c r="AZ557" s="174"/>
      <c r="BA557" s="174"/>
      <c r="BB557" s="174"/>
      <c r="BC557" s="148"/>
      <c r="BD557" s="189"/>
      <c r="BE557" s="189"/>
      <c r="BF557" s="194"/>
      <c r="BG557" s="187"/>
      <c r="BH557" s="199"/>
      <c r="BI557" s="1565"/>
      <c r="BJ557" s="169" t="s">
        <v>932</v>
      </c>
      <c r="BK557" s="1566"/>
      <c r="BL557" s="1565" t="s">
        <v>932</v>
      </c>
      <c r="BM557" s="2269"/>
      <c r="BN557" s="174"/>
      <c r="BO557" s="174"/>
      <c r="BP557" s="174"/>
      <c r="BQ557" s="174"/>
      <c r="BR557" s="174"/>
      <c r="BS557" s="148"/>
      <c r="BT557" s="189"/>
      <c r="BU557" s="189"/>
      <c r="BV557" s="194"/>
      <c r="BW557" s="187"/>
      <c r="BX557" s="199"/>
      <c r="BY557" s="1565"/>
      <c r="BZ557" s="169" t="s">
        <v>932</v>
      </c>
      <c r="CA557" s="1566"/>
      <c r="CB557" s="1565" t="s">
        <v>932</v>
      </c>
      <c r="CC557" s="2269"/>
      <c r="CD557" s="174"/>
      <c r="CE557" s="174"/>
      <c r="CF557" s="174"/>
      <c r="CG557" s="174"/>
      <c r="CH557" s="174"/>
      <c r="CI557" s="148"/>
      <c r="CJ557" s="189"/>
      <c r="CK557" s="189"/>
      <c r="CL557" s="194"/>
      <c r="CM557" s="187"/>
      <c r="CN557" s="199"/>
      <c r="CO557" s="1565"/>
      <c r="CP557" s="169" t="s">
        <v>932</v>
      </c>
      <c r="CQ557" s="1566"/>
      <c r="CR557" s="1565" t="s">
        <v>932</v>
      </c>
      <c r="CS557" s="2269"/>
      <c r="CT557" s="174"/>
      <c r="CU557" s="174"/>
      <c r="CV557" s="174"/>
      <c r="CW557" s="174"/>
      <c r="CX557" s="174"/>
      <c r="CY557" s="148"/>
      <c r="CZ557" s="189"/>
      <c r="DA557" s="189"/>
      <c r="DB557" s="194"/>
      <c r="DC557" s="187"/>
      <c r="DD557" s="199"/>
      <c r="DE557" s="1565"/>
      <c r="DF557" s="169" t="s">
        <v>932</v>
      </c>
      <c r="DG557" s="1566"/>
      <c r="DH557" s="1565" t="s">
        <v>932</v>
      </c>
      <c r="DI557" s="2269"/>
      <c r="DJ557" s="174"/>
      <c r="DK557" s="174"/>
      <c r="DL557" s="174"/>
      <c r="DM557" s="174"/>
      <c r="DN557" s="174"/>
      <c r="DO557" s="148"/>
      <c r="DP557" s="189"/>
      <c r="DQ557" s="189"/>
      <c r="DR557" s="194"/>
      <c r="DS557" s="187"/>
      <c r="DT557" s="199"/>
      <c r="DU557" s="1565"/>
      <c r="DV557" s="169" t="s">
        <v>932</v>
      </c>
      <c r="DW557" s="1566"/>
      <c r="DX557" s="1565" t="s">
        <v>932</v>
      </c>
      <c r="DY557" s="2269"/>
      <c r="DZ557" s="174"/>
      <c r="EA557" s="174"/>
      <c r="EB557" s="174"/>
      <c r="EC557" s="174"/>
      <c r="ED557" s="174"/>
      <c r="EE557" s="148"/>
      <c r="EF557" s="189"/>
      <c r="EG557" s="189"/>
      <c r="EH557" s="194"/>
      <c r="EI557" s="187"/>
      <c r="EJ557" s="199"/>
      <c r="EK557" s="1565"/>
      <c r="EL557" s="169" t="s">
        <v>932</v>
      </c>
      <c r="EM557" s="1566"/>
      <c r="EN557" s="1565" t="s">
        <v>932</v>
      </c>
      <c r="EO557" s="2269"/>
      <c r="EP557" s="174"/>
      <c r="EQ557" s="174"/>
      <c r="ER557" s="174"/>
      <c r="ES557" s="174"/>
      <c r="ET557" s="174"/>
      <c r="EU557" s="148"/>
      <c r="EV557" s="189"/>
      <c r="EW557" s="189"/>
      <c r="EX557" s="194"/>
      <c r="EY557" s="187"/>
      <c r="EZ557" s="199"/>
      <c r="FA557" s="1565"/>
      <c r="FB557" s="169" t="s">
        <v>932</v>
      </c>
      <c r="FC557" s="1566"/>
      <c r="FD557" s="1565" t="s">
        <v>932</v>
      </c>
      <c r="FE557" s="2269"/>
      <c r="FF557" s="174"/>
      <c r="FG557" s="174"/>
      <c r="FH557" s="174"/>
      <c r="FI557" s="174"/>
      <c r="FJ557" s="174"/>
      <c r="FK557" s="148"/>
      <c r="FL557" s="189"/>
      <c r="FM557" s="189"/>
      <c r="FN557" s="194"/>
      <c r="FO557" s="187"/>
      <c r="FP557" s="199"/>
      <c r="FQ557" s="1565"/>
      <c r="FR557" s="169" t="s">
        <v>932</v>
      </c>
      <c r="FS557" s="1566"/>
      <c r="FT557" s="1565" t="s">
        <v>932</v>
      </c>
      <c r="FU557" s="2269"/>
      <c r="FV557" s="174"/>
      <c r="FW557" s="174"/>
      <c r="FX557" s="174"/>
      <c r="FY557" s="174"/>
      <c r="FZ557" s="174"/>
      <c r="GA557" s="148"/>
      <c r="GB557" s="189"/>
      <c r="GC557" s="189"/>
      <c r="GD557" s="194"/>
      <c r="GE557" s="187"/>
      <c r="GF557" s="199"/>
      <c r="GG557" s="1565"/>
      <c r="GH557" s="169" t="s">
        <v>932</v>
      </c>
      <c r="GI557" s="1566"/>
      <c r="GJ557" s="1565" t="s">
        <v>932</v>
      </c>
      <c r="GK557" s="2269"/>
      <c r="GL557" s="174"/>
      <c r="GM557" s="174"/>
      <c r="GN557" s="174"/>
      <c r="GO557" s="174"/>
      <c r="GP557" s="174"/>
      <c r="GQ557" s="148"/>
      <c r="GR557" s="189"/>
      <c r="GS557" s="189"/>
      <c r="GT557" s="194"/>
      <c r="GU557" s="187"/>
      <c r="GV557" s="199"/>
      <c r="GW557" s="1565"/>
      <c r="GX557" s="169" t="s">
        <v>932</v>
      </c>
      <c r="GY557" s="1566"/>
      <c r="GZ557" s="1565" t="s">
        <v>932</v>
      </c>
      <c r="HA557" s="2269"/>
      <c r="HB557" s="174"/>
      <c r="HC557" s="174"/>
      <c r="HD557" s="174"/>
      <c r="HE557" s="174"/>
      <c r="HF557" s="174"/>
      <c r="HG557" s="148"/>
      <c r="HH557" s="189"/>
      <c r="HI557" s="189"/>
      <c r="HJ557" s="194"/>
      <c r="HK557" s="187"/>
      <c r="HL557" s="199"/>
      <c r="HM557" s="1565"/>
      <c r="HN557" s="169" t="s">
        <v>932</v>
      </c>
      <c r="HO557" s="1566"/>
      <c r="HP557" s="1565" t="s">
        <v>932</v>
      </c>
      <c r="HQ557" s="2269"/>
      <c r="HR557" s="174"/>
      <c r="HS557" s="174"/>
      <c r="HT557" s="174"/>
      <c r="HU557" s="174"/>
      <c r="HV557" s="174"/>
      <c r="HW557" s="148"/>
      <c r="HX557" s="189"/>
      <c r="HY557" s="189"/>
      <c r="HZ557" s="194"/>
      <c r="IA557" s="187"/>
      <c r="IB557" s="199"/>
      <c r="IC557" s="1565"/>
      <c r="ID557" s="169" t="s">
        <v>932</v>
      </c>
      <c r="IE557" s="1566"/>
      <c r="IF557" s="1565" t="s">
        <v>932</v>
      </c>
      <c r="IG557" s="2269"/>
      <c r="IH557" s="174"/>
      <c r="II557" s="174"/>
      <c r="IJ557" s="174"/>
      <c r="IK557" s="174"/>
      <c r="IL557" s="174"/>
      <c r="IM557" s="148"/>
      <c r="IN557" s="189"/>
      <c r="IO557" s="189"/>
      <c r="IP557" s="194"/>
      <c r="IQ557" s="187"/>
      <c r="IR557" s="199"/>
      <c r="IS557" s="1565"/>
      <c r="IT557" s="169" t="s">
        <v>932</v>
      </c>
      <c r="IU557" s="1566"/>
      <c r="IV557" s="1565" t="s">
        <v>932</v>
      </c>
    </row>
    <row r="558" spans="1:256" s="177" customFormat="1" ht="15.75">
      <c r="A558" s="2270"/>
      <c r="B558" s="202"/>
      <c r="C558" s="202"/>
      <c r="D558" s="202"/>
      <c r="E558" s="202"/>
      <c r="F558" s="202"/>
      <c r="G558" s="202"/>
      <c r="H558" s="203"/>
      <c r="I558" s="125"/>
      <c r="J558" s="190" t="s">
        <v>933</v>
      </c>
      <c r="K558" s="124" t="s">
        <v>457</v>
      </c>
      <c r="L558" s="204" t="s">
        <v>457</v>
      </c>
      <c r="M558" s="1567" t="s">
        <v>457</v>
      </c>
      <c r="N558" s="1563" t="s">
        <v>457</v>
      </c>
      <c r="O558" s="1562" t="s">
        <v>457</v>
      </c>
      <c r="P558" s="1567" t="s">
        <v>457</v>
      </c>
      <c r="Q558" s="2573"/>
      <c r="R558" s="2563"/>
      <c r="S558" s="2563"/>
      <c r="T558" s="2563"/>
      <c r="U558" s="2563"/>
      <c r="V558" s="2563"/>
      <c r="W558" s="2563"/>
      <c r="X558" s="2563"/>
      <c r="Y558" s="2556"/>
      <c r="Z558" s="2556" t="s">
        <v>933</v>
      </c>
      <c r="AA558" s="2556" t="s">
        <v>457</v>
      </c>
      <c r="AB558" s="2576" t="s">
        <v>457</v>
      </c>
      <c r="AC558" s="2143" t="s">
        <v>457</v>
      </c>
      <c r="AD558" s="1563" t="s">
        <v>457</v>
      </c>
      <c r="AE558" s="1562" t="s">
        <v>457</v>
      </c>
      <c r="AF558" s="1567" t="s">
        <v>457</v>
      </c>
      <c r="AG558" s="2270"/>
      <c r="AH558" s="202"/>
      <c r="AI558" s="202"/>
      <c r="AJ558" s="202"/>
      <c r="AK558" s="202"/>
      <c r="AL558" s="202"/>
      <c r="AM558" s="202"/>
      <c r="AN558" s="203"/>
      <c r="AO558" s="125"/>
      <c r="AP558" s="190" t="s">
        <v>933</v>
      </c>
      <c r="AQ558" s="124" t="s">
        <v>457</v>
      </c>
      <c r="AR558" s="204" t="s">
        <v>457</v>
      </c>
      <c r="AS558" s="1567" t="s">
        <v>457</v>
      </c>
      <c r="AT558" s="1563" t="s">
        <v>457</v>
      </c>
      <c r="AU558" s="1562" t="s">
        <v>457</v>
      </c>
      <c r="AV558" s="1567" t="s">
        <v>457</v>
      </c>
      <c r="AW558" s="2270"/>
      <c r="AX558" s="202"/>
      <c r="AY558" s="202"/>
      <c r="AZ558" s="202"/>
      <c r="BA558" s="202"/>
      <c r="BB558" s="202"/>
      <c r="BC558" s="202"/>
      <c r="BD558" s="203"/>
      <c r="BE558" s="125"/>
      <c r="BF558" s="190" t="s">
        <v>933</v>
      </c>
      <c r="BG558" s="124" t="s">
        <v>457</v>
      </c>
      <c r="BH558" s="204" t="s">
        <v>457</v>
      </c>
      <c r="BI558" s="1567" t="s">
        <v>457</v>
      </c>
      <c r="BJ558" s="1563" t="s">
        <v>457</v>
      </c>
      <c r="BK558" s="1562" t="s">
        <v>457</v>
      </c>
      <c r="BL558" s="1567" t="s">
        <v>457</v>
      </c>
      <c r="BM558" s="2270"/>
      <c r="BN558" s="202"/>
      <c r="BO558" s="202"/>
      <c r="BP558" s="202"/>
      <c r="BQ558" s="202"/>
      <c r="BR558" s="202"/>
      <c r="BS558" s="202"/>
      <c r="BT558" s="203"/>
      <c r="BU558" s="125"/>
      <c r="BV558" s="190" t="s">
        <v>933</v>
      </c>
      <c r="BW558" s="124" t="s">
        <v>457</v>
      </c>
      <c r="BX558" s="204" t="s">
        <v>457</v>
      </c>
      <c r="BY558" s="1567" t="s">
        <v>457</v>
      </c>
      <c r="BZ558" s="1563" t="s">
        <v>457</v>
      </c>
      <c r="CA558" s="1562" t="s">
        <v>457</v>
      </c>
      <c r="CB558" s="1567" t="s">
        <v>457</v>
      </c>
      <c r="CC558" s="2270"/>
      <c r="CD558" s="202"/>
      <c r="CE558" s="202"/>
      <c r="CF558" s="202"/>
      <c r="CG558" s="202"/>
      <c r="CH558" s="202"/>
      <c r="CI558" s="202"/>
      <c r="CJ558" s="203"/>
      <c r="CK558" s="125"/>
      <c r="CL558" s="190" t="s">
        <v>933</v>
      </c>
      <c r="CM558" s="124" t="s">
        <v>457</v>
      </c>
      <c r="CN558" s="204" t="s">
        <v>457</v>
      </c>
      <c r="CO558" s="1567" t="s">
        <v>457</v>
      </c>
      <c r="CP558" s="1563" t="s">
        <v>457</v>
      </c>
      <c r="CQ558" s="1562" t="s">
        <v>457</v>
      </c>
      <c r="CR558" s="1567" t="s">
        <v>457</v>
      </c>
      <c r="CS558" s="2270"/>
      <c r="CT558" s="202"/>
      <c r="CU558" s="202"/>
      <c r="CV558" s="202"/>
      <c r="CW558" s="202"/>
      <c r="CX558" s="202"/>
      <c r="CY558" s="202"/>
      <c r="CZ558" s="203"/>
      <c r="DA558" s="125"/>
      <c r="DB558" s="190" t="s">
        <v>933</v>
      </c>
      <c r="DC558" s="124" t="s">
        <v>457</v>
      </c>
      <c r="DD558" s="204" t="s">
        <v>457</v>
      </c>
      <c r="DE558" s="1567" t="s">
        <v>457</v>
      </c>
      <c r="DF558" s="1563" t="s">
        <v>457</v>
      </c>
      <c r="DG558" s="1562" t="s">
        <v>457</v>
      </c>
      <c r="DH558" s="1567" t="s">
        <v>457</v>
      </c>
      <c r="DI558" s="2270"/>
      <c r="DJ558" s="202"/>
      <c r="DK558" s="202"/>
      <c r="DL558" s="202"/>
      <c r="DM558" s="202"/>
      <c r="DN558" s="202"/>
      <c r="DO558" s="202"/>
      <c r="DP558" s="203"/>
      <c r="DQ558" s="125"/>
      <c r="DR558" s="190" t="s">
        <v>933</v>
      </c>
      <c r="DS558" s="124" t="s">
        <v>457</v>
      </c>
      <c r="DT558" s="204" t="s">
        <v>457</v>
      </c>
      <c r="DU558" s="1567" t="s">
        <v>457</v>
      </c>
      <c r="DV558" s="1563" t="s">
        <v>457</v>
      </c>
      <c r="DW558" s="1562" t="s">
        <v>457</v>
      </c>
      <c r="DX558" s="1567" t="s">
        <v>457</v>
      </c>
      <c r="DY558" s="2270"/>
      <c r="DZ558" s="202"/>
      <c r="EA558" s="202"/>
      <c r="EB558" s="202"/>
      <c r="EC558" s="202"/>
      <c r="ED558" s="202"/>
      <c r="EE558" s="202"/>
      <c r="EF558" s="203"/>
      <c r="EG558" s="125"/>
      <c r="EH558" s="190" t="s">
        <v>933</v>
      </c>
      <c r="EI558" s="124" t="s">
        <v>457</v>
      </c>
      <c r="EJ558" s="204" t="s">
        <v>457</v>
      </c>
      <c r="EK558" s="1567" t="s">
        <v>457</v>
      </c>
      <c r="EL558" s="1563" t="s">
        <v>457</v>
      </c>
      <c r="EM558" s="1562" t="s">
        <v>457</v>
      </c>
      <c r="EN558" s="1567" t="s">
        <v>457</v>
      </c>
      <c r="EO558" s="2270"/>
      <c r="EP558" s="202"/>
      <c r="EQ558" s="202"/>
      <c r="ER558" s="202"/>
      <c r="ES558" s="202"/>
      <c r="ET558" s="202"/>
      <c r="EU558" s="202"/>
      <c r="EV558" s="203"/>
      <c r="EW558" s="125"/>
      <c r="EX558" s="190" t="s">
        <v>933</v>
      </c>
      <c r="EY558" s="124" t="s">
        <v>457</v>
      </c>
      <c r="EZ558" s="204" t="s">
        <v>457</v>
      </c>
      <c r="FA558" s="1567" t="s">
        <v>457</v>
      </c>
      <c r="FB558" s="1563" t="s">
        <v>457</v>
      </c>
      <c r="FC558" s="1562" t="s">
        <v>457</v>
      </c>
      <c r="FD558" s="1567" t="s">
        <v>457</v>
      </c>
      <c r="FE558" s="2270"/>
      <c r="FF558" s="202"/>
      <c r="FG558" s="202"/>
      <c r="FH558" s="202"/>
      <c r="FI558" s="202"/>
      <c r="FJ558" s="202"/>
      <c r="FK558" s="202"/>
      <c r="FL558" s="203"/>
      <c r="FM558" s="125"/>
      <c r="FN558" s="190" t="s">
        <v>933</v>
      </c>
      <c r="FO558" s="124" t="s">
        <v>457</v>
      </c>
      <c r="FP558" s="204" t="s">
        <v>457</v>
      </c>
      <c r="FQ558" s="1567" t="s">
        <v>457</v>
      </c>
      <c r="FR558" s="1563" t="s">
        <v>457</v>
      </c>
      <c r="FS558" s="1562" t="s">
        <v>457</v>
      </c>
      <c r="FT558" s="1567" t="s">
        <v>457</v>
      </c>
      <c r="FU558" s="2270"/>
      <c r="FV558" s="202"/>
      <c r="FW558" s="202"/>
      <c r="FX558" s="202"/>
      <c r="FY558" s="202"/>
      <c r="FZ558" s="202"/>
      <c r="GA558" s="202"/>
      <c r="GB558" s="203"/>
      <c r="GC558" s="125"/>
      <c r="GD558" s="190" t="s">
        <v>933</v>
      </c>
      <c r="GE558" s="124" t="s">
        <v>457</v>
      </c>
      <c r="GF558" s="204" t="s">
        <v>457</v>
      </c>
      <c r="GG558" s="1567" t="s">
        <v>457</v>
      </c>
      <c r="GH558" s="1563" t="s">
        <v>457</v>
      </c>
      <c r="GI558" s="1562" t="s">
        <v>457</v>
      </c>
      <c r="GJ558" s="1567" t="s">
        <v>457</v>
      </c>
      <c r="GK558" s="2270"/>
      <c r="GL558" s="202"/>
      <c r="GM558" s="202"/>
      <c r="GN558" s="202"/>
      <c r="GO558" s="202"/>
      <c r="GP558" s="202"/>
      <c r="GQ558" s="202"/>
      <c r="GR558" s="203"/>
      <c r="GS558" s="125"/>
      <c r="GT558" s="190" t="s">
        <v>933</v>
      </c>
      <c r="GU558" s="124" t="s">
        <v>457</v>
      </c>
      <c r="GV558" s="204" t="s">
        <v>457</v>
      </c>
      <c r="GW558" s="1567" t="s">
        <v>457</v>
      </c>
      <c r="GX558" s="1563" t="s">
        <v>457</v>
      </c>
      <c r="GY558" s="1562" t="s">
        <v>457</v>
      </c>
      <c r="GZ558" s="1567" t="s">
        <v>457</v>
      </c>
      <c r="HA558" s="2270"/>
      <c r="HB558" s="202"/>
      <c r="HC558" s="202"/>
      <c r="HD558" s="202"/>
      <c r="HE558" s="202"/>
      <c r="HF558" s="202"/>
      <c r="HG558" s="202"/>
      <c r="HH558" s="203"/>
      <c r="HI558" s="125"/>
      <c r="HJ558" s="190" t="s">
        <v>933</v>
      </c>
      <c r="HK558" s="124" t="s">
        <v>457</v>
      </c>
      <c r="HL558" s="204" t="s">
        <v>457</v>
      </c>
      <c r="HM558" s="1567" t="s">
        <v>457</v>
      </c>
      <c r="HN558" s="1563" t="s">
        <v>457</v>
      </c>
      <c r="HO558" s="1562" t="s">
        <v>457</v>
      </c>
      <c r="HP558" s="1567" t="s">
        <v>457</v>
      </c>
      <c r="HQ558" s="2270"/>
      <c r="HR558" s="202"/>
      <c r="HS558" s="202"/>
      <c r="HT558" s="202"/>
      <c r="HU558" s="202"/>
      <c r="HV558" s="202"/>
      <c r="HW558" s="202"/>
      <c r="HX558" s="203"/>
      <c r="HY558" s="125"/>
      <c r="HZ558" s="190" t="s">
        <v>933</v>
      </c>
      <c r="IA558" s="124" t="s">
        <v>457</v>
      </c>
      <c r="IB558" s="204" t="s">
        <v>457</v>
      </c>
      <c r="IC558" s="1567" t="s">
        <v>457</v>
      </c>
      <c r="ID558" s="1563" t="s">
        <v>457</v>
      </c>
      <c r="IE558" s="1562" t="s">
        <v>457</v>
      </c>
      <c r="IF558" s="1567" t="s">
        <v>457</v>
      </c>
      <c r="IG558" s="2270"/>
      <c r="IH558" s="202"/>
      <c r="II558" s="202"/>
      <c r="IJ558" s="202"/>
      <c r="IK558" s="202"/>
      <c r="IL558" s="202"/>
      <c r="IM558" s="202"/>
      <c r="IN558" s="203"/>
      <c r="IO558" s="125"/>
      <c r="IP558" s="190" t="s">
        <v>933</v>
      </c>
      <c r="IQ558" s="124" t="s">
        <v>457</v>
      </c>
      <c r="IR558" s="204" t="s">
        <v>457</v>
      </c>
      <c r="IS558" s="1567" t="s">
        <v>457</v>
      </c>
      <c r="IT558" s="1563" t="s">
        <v>457</v>
      </c>
      <c r="IU558" s="1562" t="s">
        <v>457</v>
      </c>
      <c r="IV558" s="1567" t="s">
        <v>457</v>
      </c>
    </row>
    <row r="559" spans="1:28" s="165" customFormat="1" ht="16.5" customHeight="1">
      <c r="A559" s="206"/>
      <c r="B559" s="1604" t="s">
        <v>934</v>
      </c>
      <c r="C559" s="310"/>
      <c r="D559" s="310"/>
      <c r="E559" s="310"/>
      <c r="F559" s="310"/>
      <c r="G559" s="310"/>
      <c r="H559" s="311"/>
      <c r="I559" s="209"/>
      <c r="J559" s="210"/>
      <c r="K559" s="211"/>
      <c r="L559" s="212"/>
      <c r="M559" s="213"/>
      <c r="N559" s="208"/>
      <c r="R559" s="2575"/>
      <c r="S559" s="2575"/>
      <c r="T559" s="2575"/>
      <c r="U559" s="2575"/>
      <c r="V559" s="2575"/>
      <c r="W559" s="2575"/>
      <c r="X559" s="2575"/>
      <c r="Y559" s="2575"/>
      <c r="Z559" s="2575"/>
      <c r="AA559" s="2575"/>
      <c r="AB559" s="2575"/>
    </row>
    <row r="560" spans="1:28" s="165" customFormat="1" ht="16.5" customHeight="1">
      <c r="A560" s="214">
        <v>1</v>
      </c>
      <c r="B560" s="1605" t="s">
        <v>935</v>
      </c>
      <c r="C560" s="1606"/>
      <c r="D560" s="1606"/>
      <c r="E560" s="1606"/>
      <c r="F560" s="1606"/>
      <c r="G560" s="310"/>
      <c r="H560" s="318"/>
      <c r="I560" s="216"/>
      <c r="J560" s="217"/>
      <c r="K560" s="121"/>
      <c r="L560" s="218"/>
      <c r="M560" s="213"/>
      <c r="N560" s="219"/>
      <c r="R560" s="2575"/>
      <c r="S560" s="2575"/>
      <c r="T560" s="2575"/>
      <c r="U560" s="2575"/>
      <c r="V560" s="2575"/>
      <c r="W560" s="2575"/>
      <c r="X560" s="2575"/>
      <c r="Y560" s="2575"/>
      <c r="Z560" s="2575"/>
      <c r="AA560" s="2575"/>
      <c r="AB560" s="2575"/>
    </row>
    <row r="561" spans="1:28" s="165" customFormat="1" ht="17.25">
      <c r="A561" s="220" t="s">
        <v>216</v>
      </c>
      <c r="B561" s="2258" t="s">
        <v>512</v>
      </c>
      <c r="C561" s="2259"/>
      <c r="D561" s="2259"/>
      <c r="E561" s="2259"/>
      <c r="F561" s="2259"/>
      <c r="G561" s="2259"/>
      <c r="H561" s="2260"/>
      <c r="I561" s="216"/>
      <c r="J561" s="217"/>
      <c r="K561" s="121"/>
      <c r="L561" s="218"/>
      <c r="M561" s="1584"/>
      <c r="N561" s="311"/>
      <c r="R561" s="2575"/>
      <c r="S561" s="2575"/>
      <c r="T561" s="2575"/>
      <c r="U561" s="2575"/>
      <c r="V561" s="2575"/>
      <c r="W561" s="2575"/>
      <c r="X561" s="2575"/>
      <c r="Y561" s="2575"/>
      <c r="Z561" s="2575"/>
      <c r="AA561" s="2575"/>
      <c r="AB561" s="2575"/>
    </row>
    <row r="562" spans="1:28" s="165" customFormat="1" ht="19.5">
      <c r="A562" s="221"/>
      <c r="B562" s="2258"/>
      <c r="C562" s="2259"/>
      <c r="D562" s="2259"/>
      <c r="E562" s="2259"/>
      <c r="F562" s="2259"/>
      <c r="G562" s="2259"/>
      <c r="H562" s="2260"/>
      <c r="I562" s="216" t="s">
        <v>937</v>
      </c>
      <c r="J562" s="1951">
        <f>14600/10000</f>
        <v>1.46</v>
      </c>
      <c r="K562" s="1952">
        <f>J562</f>
        <v>1.46</v>
      </c>
      <c r="L562" s="1953"/>
      <c r="M562" s="1954">
        <f>J562+L562</f>
        <v>1.46</v>
      </c>
      <c r="N562" s="1955">
        <f>K562+L562</f>
        <v>1.46</v>
      </c>
      <c r="O562" s="1591">
        <f>M562/10000</f>
        <v>0.000146</v>
      </c>
      <c r="P562" s="1592">
        <f>N562/10000</f>
        <v>0.000146</v>
      </c>
      <c r="Q562" s="482">
        <f>S562*1.2</f>
        <v>14640</v>
      </c>
      <c r="R562" s="2555">
        <v>12200</v>
      </c>
      <c r="S562" s="2555">
        <v>12200</v>
      </c>
      <c r="T562" s="2568">
        <f>V562*1.2</f>
        <v>14640</v>
      </c>
      <c r="U562" s="2568">
        <f>W562*1.2</f>
        <v>14640</v>
      </c>
      <c r="V562" s="2555">
        <v>12200</v>
      </c>
      <c r="W562" s="2555">
        <v>12200</v>
      </c>
      <c r="X562" s="2575"/>
      <c r="Y562" s="2575"/>
      <c r="Z562" s="2575"/>
      <c r="AA562" s="2575"/>
      <c r="AB562" s="2575"/>
    </row>
    <row r="563" spans="1:28" s="165" customFormat="1" ht="12.75" customHeight="1">
      <c r="A563" s="221"/>
      <c r="B563" s="2258"/>
      <c r="C563" s="2259"/>
      <c r="D563" s="2259"/>
      <c r="E563" s="2259"/>
      <c r="F563" s="2259"/>
      <c r="G563" s="2259"/>
      <c r="H563" s="2260"/>
      <c r="I563" s="216" t="s">
        <v>938</v>
      </c>
      <c r="J563" s="1951"/>
      <c r="K563" s="1952"/>
      <c r="L563" s="1953"/>
      <c r="M563" s="1954"/>
      <c r="N563" s="1956"/>
      <c r="O563" s="1580"/>
      <c r="P563" s="1314"/>
      <c r="Q563" s="150"/>
      <c r="R563" s="2555"/>
      <c r="S563" s="2555"/>
      <c r="T563" s="2565"/>
      <c r="U563" s="2565"/>
      <c r="V563" s="2555"/>
      <c r="W563" s="2555"/>
      <c r="X563" s="2575"/>
      <c r="Y563" s="2575"/>
      <c r="Z563" s="2575"/>
      <c r="AA563" s="2575"/>
      <c r="AB563" s="2575"/>
    </row>
    <row r="564" spans="1:28" s="165" customFormat="1" ht="17.25">
      <c r="A564" s="221" t="s">
        <v>260</v>
      </c>
      <c r="B564" s="2258" t="s">
        <v>939</v>
      </c>
      <c r="C564" s="2259"/>
      <c r="D564" s="2259"/>
      <c r="E564" s="2259"/>
      <c r="F564" s="2259"/>
      <c r="G564" s="2259"/>
      <c r="H564" s="2260"/>
      <c r="I564" s="216"/>
      <c r="J564" s="1951"/>
      <c r="K564" s="1952"/>
      <c r="L564" s="1953"/>
      <c r="M564" s="1954"/>
      <c r="N564" s="1956"/>
      <c r="O564" s="1580"/>
      <c r="P564" s="1314"/>
      <c r="Q564" s="150"/>
      <c r="R564" s="2555"/>
      <c r="S564" s="2555"/>
      <c r="T564" s="2565"/>
      <c r="U564" s="2565"/>
      <c r="V564" s="2555"/>
      <c r="W564" s="2555"/>
      <c r="X564" s="2575"/>
      <c r="Y564" s="2575"/>
      <c r="Z564" s="2575"/>
      <c r="AA564" s="2575"/>
      <c r="AB564" s="2575"/>
    </row>
    <row r="565" spans="1:28" s="165" customFormat="1" ht="33" customHeight="1">
      <c r="A565" s="221"/>
      <c r="B565" s="2258"/>
      <c r="C565" s="2259"/>
      <c r="D565" s="2259"/>
      <c r="E565" s="2259"/>
      <c r="F565" s="2259"/>
      <c r="G565" s="2259"/>
      <c r="H565" s="2260"/>
      <c r="I565" s="216" t="s">
        <v>873</v>
      </c>
      <c r="J565" s="1957">
        <f>6500/10000</f>
        <v>0.65</v>
      </c>
      <c r="K565" s="1958">
        <f>J565</f>
        <v>0.65</v>
      </c>
      <c r="L565" s="1953">
        <f>L26</f>
        <v>0.0954</v>
      </c>
      <c r="M565" s="1954">
        <f>J565+L565</f>
        <v>0.7454000000000001</v>
      </c>
      <c r="N565" s="1955">
        <f>K565+L565</f>
        <v>0.7454000000000001</v>
      </c>
      <c r="O565" s="1591">
        <f>M565/10000</f>
        <v>7.454E-05</v>
      </c>
      <c r="P565" s="1592">
        <f>N565/10000</f>
        <v>7.454E-05</v>
      </c>
      <c r="Q565" s="482">
        <f>S565*1.2</f>
        <v>6480</v>
      </c>
      <c r="R565" s="2555">
        <v>5400</v>
      </c>
      <c r="S565" s="2555">
        <v>5400</v>
      </c>
      <c r="T565" s="2568">
        <f>V565*1.2</f>
        <v>6480</v>
      </c>
      <c r="U565" s="2568">
        <f>W565*1.2</f>
        <v>6480</v>
      </c>
      <c r="V565" s="2555">
        <v>5400</v>
      </c>
      <c r="W565" s="2555">
        <v>5400</v>
      </c>
      <c r="X565" s="2575"/>
      <c r="Y565" s="2575"/>
      <c r="Z565" s="2575"/>
      <c r="AA565" s="2575"/>
      <c r="AB565" s="2575"/>
    </row>
    <row r="566" spans="1:28" s="165" customFormat="1" ht="17.25">
      <c r="A566" s="221" t="s">
        <v>261</v>
      </c>
      <c r="B566" s="2258" t="s">
        <v>940</v>
      </c>
      <c r="C566" s="2259"/>
      <c r="D566" s="2259"/>
      <c r="E566" s="2259"/>
      <c r="F566" s="2259"/>
      <c r="G566" s="2259"/>
      <c r="H566" s="2260"/>
      <c r="I566" s="216"/>
      <c r="J566" s="1957"/>
      <c r="K566" s="1958"/>
      <c r="L566" s="1953"/>
      <c r="M566" s="1954"/>
      <c r="N566" s="1956"/>
      <c r="O566" s="1580"/>
      <c r="P566" s="1593"/>
      <c r="Q566" s="482"/>
      <c r="R566" s="2555"/>
      <c r="S566" s="2555"/>
      <c r="T566" s="2568"/>
      <c r="U566" s="2568"/>
      <c r="V566" s="2555"/>
      <c r="W566" s="2555"/>
      <c r="X566" s="2575"/>
      <c r="Y566" s="2575"/>
      <c r="Z566" s="2575"/>
      <c r="AA566" s="2575"/>
      <c r="AB566" s="2575"/>
    </row>
    <row r="567" spans="1:28" s="165" customFormat="1" ht="19.5">
      <c r="A567" s="221"/>
      <c r="B567" s="2258"/>
      <c r="C567" s="2259"/>
      <c r="D567" s="2259"/>
      <c r="E567" s="2259"/>
      <c r="F567" s="2259"/>
      <c r="G567" s="2259"/>
      <c r="H567" s="2260"/>
      <c r="I567" s="216" t="s">
        <v>873</v>
      </c>
      <c r="J567" s="1957">
        <f>13100/10000</f>
        <v>1.31</v>
      </c>
      <c r="K567" s="1958">
        <f>J567</f>
        <v>1.31</v>
      </c>
      <c r="L567" s="1953">
        <f>L28</f>
        <v>0.0954</v>
      </c>
      <c r="M567" s="1954">
        <f>J567+L567</f>
        <v>1.4054</v>
      </c>
      <c r="N567" s="1955">
        <f>K567+L567</f>
        <v>1.4054</v>
      </c>
      <c r="O567" s="1591">
        <f>M567/10000</f>
        <v>0.00014054</v>
      </c>
      <c r="P567" s="1592">
        <f>N567/10000</f>
        <v>0.00014054</v>
      </c>
      <c r="Q567" s="482">
        <f>S567*1.2</f>
        <v>13080</v>
      </c>
      <c r="R567" s="2555">
        <v>10900</v>
      </c>
      <c r="S567" s="2555">
        <v>10900</v>
      </c>
      <c r="T567" s="2568">
        <f>V567*1.2</f>
        <v>13080</v>
      </c>
      <c r="U567" s="2568">
        <f>W567*1.2</f>
        <v>13080</v>
      </c>
      <c r="V567" s="2555">
        <v>10900</v>
      </c>
      <c r="W567" s="2555">
        <v>10900</v>
      </c>
      <c r="X567" s="2575"/>
      <c r="Y567" s="2575"/>
      <c r="Z567" s="2575"/>
      <c r="AA567" s="2575"/>
      <c r="AB567" s="2575"/>
    </row>
    <row r="568" spans="1:28" s="165" customFormat="1" ht="13.5" customHeight="1">
      <c r="A568" s="221"/>
      <c r="B568" s="2258"/>
      <c r="C568" s="2259"/>
      <c r="D568" s="2259"/>
      <c r="E568" s="2259"/>
      <c r="F568" s="2259"/>
      <c r="G568" s="2259"/>
      <c r="H568" s="2260"/>
      <c r="I568" s="216"/>
      <c r="J568" s="1957"/>
      <c r="K568" s="1958"/>
      <c r="L568" s="1953"/>
      <c r="M568" s="1954"/>
      <c r="N568" s="1955"/>
      <c r="O568" s="1580"/>
      <c r="P568" s="1593"/>
      <c r="Q568" s="482"/>
      <c r="R568" s="2555"/>
      <c r="S568" s="2555"/>
      <c r="T568" s="2568"/>
      <c r="U568" s="2568"/>
      <c r="V568" s="2555"/>
      <c r="W568" s="2555"/>
      <c r="X568" s="2575"/>
      <c r="Y568" s="2575"/>
      <c r="Z568" s="2575"/>
      <c r="AA568" s="2575"/>
      <c r="AB568" s="2575"/>
    </row>
    <row r="569" spans="1:28" s="165" customFormat="1" ht="19.5">
      <c r="A569" s="221" t="s">
        <v>223</v>
      </c>
      <c r="B569" s="310" t="s">
        <v>875</v>
      </c>
      <c r="C569" s="310"/>
      <c r="D569" s="310"/>
      <c r="E569" s="310"/>
      <c r="F569" s="310"/>
      <c r="G569" s="310"/>
      <c r="H569" s="318"/>
      <c r="I569" s="216" t="s">
        <v>873</v>
      </c>
      <c r="J569" s="1957">
        <f>16300/10000</f>
        <v>1.63</v>
      </c>
      <c r="K569" s="1958">
        <f>J569</f>
        <v>1.63</v>
      </c>
      <c r="L569" s="1953">
        <f>L30</f>
        <v>0.5331999999999999</v>
      </c>
      <c r="M569" s="1954">
        <f>J569+L569</f>
        <v>2.1632</v>
      </c>
      <c r="N569" s="1955">
        <f>K569+L569</f>
        <v>2.1632</v>
      </c>
      <c r="O569" s="1591">
        <f>M569/10000</f>
        <v>0.00021632</v>
      </c>
      <c r="P569" s="1592">
        <f>N569/10000</f>
        <v>0.00021632</v>
      </c>
      <c r="Q569" s="482">
        <f>S569*1.2</f>
        <v>16320</v>
      </c>
      <c r="R569" s="2555">
        <v>13600</v>
      </c>
      <c r="S569" s="2555">
        <v>13600</v>
      </c>
      <c r="T569" s="2568">
        <f>V569*1.2</f>
        <v>16320</v>
      </c>
      <c r="U569" s="2568">
        <f>W569*1.2</f>
        <v>16320</v>
      </c>
      <c r="V569" s="2555">
        <v>13600</v>
      </c>
      <c r="W569" s="2555">
        <v>13600</v>
      </c>
      <c r="X569" s="2575"/>
      <c r="Y569" s="2575"/>
      <c r="Z569" s="2575"/>
      <c r="AA569" s="2575"/>
      <c r="AB569" s="2575"/>
    </row>
    <row r="570" spans="1:28" s="165" customFormat="1" ht="19.5">
      <c r="A570" s="221" t="s">
        <v>224</v>
      </c>
      <c r="B570" s="310" t="s">
        <v>941</v>
      </c>
      <c r="C570" s="310"/>
      <c r="D570" s="310"/>
      <c r="E570" s="310"/>
      <c r="F570" s="310"/>
      <c r="G570" s="310"/>
      <c r="H570" s="318"/>
      <c r="I570" s="216" t="s">
        <v>873</v>
      </c>
      <c r="J570" s="1957">
        <f>9700/10000</f>
        <v>0.97</v>
      </c>
      <c r="K570" s="1958">
        <f>J570</f>
        <v>0.97</v>
      </c>
      <c r="L570" s="1953">
        <f>L31</f>
        <v>0.0826</v>
      </c>
      <c r="M570" s="1954">
        <f>J570+L570</f>
        <v>1.0526</v>
      </c>
      <c r="N570" s="1955">
        <f>K570+L570</f>
        <v>1.0526</v>
      </c>
      <c r="O570" s="1591">
        <f>M570/10000</f>
        <v>0.00010525999999999999</v>
      </c>
      <c r="P570" s="1592">
        <f>N570/10000</f>
        <v>0.00010525999999999999</v>
      </c>
      <c r="Q570" s="482">
        <f>S570*1.2</f>
        <v>9720</v>
      </c>
      <c r="R570" s="2555">
        <v>8100</v>
      </c>
      <c r="S570" s="2555">
        <v>8100</v>
      </c>
      <c r="T570" s="2568">
        <f>V570*1.2</f>
        <v>9720</v>
      </c>
      <c r="U570" s="2568">
        <f>W570*1.2</f>
        <v>9720</v>
      </c>
      <c r="V570" s="2555">
        <v>8100</v>
      </c>
      <c r="W570" s="2555">
        <v>8100</v>
      </c>
      <c r="X570" s="2575"/>
      <c r="Y570" s="2575"/>
      <c r="Z570" s="2575"/>
      <c r="AA570" s="2575"/>
      <c r="AB570" s="2575"/>
    </row>
    <row r="571" spans="1:28" s="165" customFormat="1" ht="16.5" customHeight="1">
      <c r="A571" s="214">
        <v>2</v>
      </c>
      <c r="B571" s="1605" t="s">
        <v>942</v>
      </c>
      <c r="C571" s="310"/>
      <c r="D571" s="310"/>
      <c r="E571" s="310"/>
      <c r="F571" s="310"/>
      <c r="G571" s="310"/>
      <c r="H571" s="318"/>
      <c r="I571" s="223"/>
      <c r="J571" s="1957"/>
      <c r="K571" s="1958"/>
      <c r="L571" s="1953"/>
      <c r="M571" s="1954"/>
      <c r="N571" s="1956"/>
      <c r="O571" s="1580"/>
      <c r="P571" s="1314"/>
      <c r="Q571" s="150"/>
      <c r="R571" s="2555"/>
      <c r="S571" s="2555"/>
      <c r="T571" s="2565"/>
      <c r="U571" s="2565"/>
      <c r="V571" s="2555"/>
      <c r="W571" s="2555"/>
      <c r="X571" s="2575"/>
      <c r="Y571" s="2575"/>
      <c r="Z571" s="2575"/>
      <c r="AA571" s="2575"/>
      <c r="AB571" s="2575"/>
    </row>
    <row r="572" spans="1:28" s="165" customFormat="1" ht="16.5" customHeight="1">
      <c r="A572" s="224">
        <v>2.1</v>
      </c>
      <c r="B572" s="1606" t="s">
        <v>943</v>
      </c>
      <c r="C572" s="1606"/>
      <c r="D572" s="1606"/>
      <c r="E572" s="310"/>
      <c r="F572" s="310"/>
      <c r="G572" s="310"/>
      <c r="H572" s="318"/>
      <c r="I572" s="223"/>
      <c r="J572" s="1957"/>
      <c r="K572" s="1958"/>
      <c r="L572" s="1953"/>
      <c r="M572" s="1954"/>
      <c r="N572" s="1956"/>
      <c r="O572" s="1580"/>
      <c r="P572" s="1314"/>
      <c r="Q572" s="150"/>
      <c r="R572" s="2555"/>
      <c r="S572" s="2555"/>
      <c r="T572" s="2565"/>
      <c r="U572" s="2565"/>
      <c r="V572" s="2555"/>
      <c r="W572" s="2555"/>
      <c r="X572" s="2575"/>
      <c r="Y572" s="2575"/>
      <c r="Z572" s="2575"/>
      <c r="AA572" s="2575"/>
      <c r="AB572" s="2575"/>
    </row>
    <row r="573" spans="1:28" s="165" customFormat="1" ht="17.25">
      <c r="A573" s="221" t="s">
        <v>274</v>
      </c>
      <c r="B573" s="2258" t="s">
        <v>944</v>
      </c>
      <c r="C573" s="2259"/>
      <c r="D573" s="2259"/>
      <c r="E573" s="2259"/>
      <c r="F573" s="2259"/>
      <c r="G573" s="2259"/>
      <c r="H573" s="2260"/>
      <c r="I573" s="223"/>
      <c r="J573" s="1957"/>
      <c r="K573" s="1958"/>
      <c r="L573" s="1953"/>
      <c r="M573" s="1954"/>
      <c r="N573" s="1956"/>
      <c r="O573" s="1580"/>
      <c r="P573" s="1314"/>
      <c r="Q573" s="150"/>
      <c r="R573" s="2555"/>
      <c r="S573" s="2555"/>
      <c r="T573" s="2565"/>
      <c r="U573" s="2565"/>
      <c r="V573" s="2555"/>
      <c r="W573" s="2555"/>
      <c r="X573" s="2575"/>
      <c r="Y573" s="2575"/>
      <c r="Z573" s="2575"/>
      <c r="AA573" s="2575"/>
      <c r="AB573" s="2575"/>
    </row>
    <row r="574" spans="1:28" s="165" customFormat="1" ht="19.5">
      <c r="A574" s="221"/>
      <c r="B574" s="2258"/>
      <c r="C574" s="2259"/>
      <c r="D574" s="2259"/>
      <c r="E574" s="2259"/>
      <c r="F574" s="2259"/>
      <c r="G574" s="2259"/>
      <c r="H574" s="2260"/>
      <c r="I574" s="225" t="s">
        <v>945</v>
      </c>
      <c r="J574" s="1957">
        <f>4900/10000</f>
        <v>0.49</v>
      </c>
      <c r="K574" s="1958">
        <f>J574</f>
        <v>0.49</v>
      </c>
      <c r="L574" s="1953">
        <f aca="true" t="shared" si="46" ref="L574:L580">L35</f>
        <v>0.05601</v>
      </c>
      <c r="M574" s="1954">
        <f aca="true" t="shared" si="47" ref="M574:M580">J574+L574</f>
        <v>0.54601</v>
      </c>
      <c r="N574" s="1955">
        <f aca="true" t="shared" si="48" ref="N574:N580">K574+L574</f>
        <v>0.54601</v>
      </c>
      <c r="O574" s="1591">
        <f aca="true" t="shared" si="49" ref="O574:O580">M574/10000</f>
        <v>5.4601E-05</v>
      </c>
      <c r="P574" s="1592">
        <f aca="true" t="shared" si="50" ref="P574:P580">N574/10000</f>
        <v>5.4601E-05</v>
      </c>
      <c r="Q574" s="482">
        <f aca="true" t="shared" si="51" ref="Q574:Q580">S574*1.2</f>
        <v>4920</v>
      </c>
      <c r="R574" s="2555">
        <v>4100</v>
      </c>
      <c r="S574" s="2555">
        <v>4100</v>
      </c>
      <c r="T574" s="2568">
        <f aca="true" t="shared" si="52" ref="T574:T580">V574*1.2</f>
        <v>4920</v>
      </c>
      <c r="U574" s="2568">
        <f aca="true" t="shared" si="53" ref="U574:U580">W574*1.2</f>
        <v>4920</v>
      </c>
      <c r="V574" s="2555">
        <v>4100</v>
      </c>
      <c r="W574" s="2555">
        <v>4100</v>
      </c>
      <c r="X574" s="2575"/>
      <c r="Y574" s="2575"/>
      <c r="Z574" s="2575"/>
      <c r="AA574" s="2575"/>
      <c r="AB574" s="2575"/>
    </row>
    <row r="575" spans="1:28" s="165" customFormat="1" ht="19.5">
      <c r="A575" s="221" t="s">
        <v>273</v>
      </c>
      <c r="B575" s="310" t="s">
        <v>946</v>
      </c>
      <c r="C575" s="310"/>
      <c r="D575" s="310"/>
      <c r="E575" s="310"/>
      <c r="F575" s="310"/>
      <c r="G575" s="310"/>
      <c r="H575" s="318"/>
      <c r="I575" s="225" t="s">
        <v>945</v>
      </c>
      <c r="J575" s="1951">
        <f>9200/10000</f>
        <v>0.92</v>
      </c>
      <c r="K575" s="1958">
        <f>1700/10000</f>
        <v>0.17</v>
      </c>
      <c r="L575" s="1953">
        <f t="shared" si="46"/>
        <v>0.056209999999999996</v>
      </c>
      <c r="M575" s="1954">
        <f t="shared" si="47"/>
        <v>0.97621</v>
      </c>
      <c r="N575" s="1955">
        <f t="shared" si="48"/>
        <v>0.22621000000000002</v>
      </c>
      <c r="O575" s="1591">
        <f t="shared" si="49"/>
        <v>9.7621E-05</v>
      </c>
      <c r="P575" s="1592">
        <f t="shared" si="50"/>
        <v>2.2621000000000002E-05</v>
      </c>
      <c r="Q575" s="482">
        <f t="shared" si="51"/>
        <v>1680</v>
      </c>
      <c r="R575" s="2555">
        <v>6800</v>
      </c>
      <c r="S575" s="2555">
        <v>1400</v>
      </c>
      <c r="T575" s="2568">
        <f t="shared" si="52"/>
        <v>8160</v>
      </c>
      <c r="U575" s="2568">
        <f t="shared" si="53"/>
        <v>1680</v>
      </c>
      <c r="V575" s="2555">
        <v>6800</v>
      </c>
      <c r="W575" s="2555">
        <v>1400</v>
      </c>
      <c r="X575" s="2575"/>
      <c r="Y575" s="2575"/>
      <c r="Z575" s="2575"/>
      <c r="AA575" s="2575"/>
      <c r="AB575" s="2575"/>
    </row>
    <row r="576" spans="1:28" s="165" customFormat="1" ht="19.5">
      <c r="A576" s="221" t="s">
        <v>262</v>
      </c>
      <c r="B576" s="310" t="s">
        <v>947</v>
      </c>
      <c r="C576" s="310"/>
      <c r="D576" s="310"/>
      <c r="E576" s="310"/>
      <c r="F576" s="310"/>
      <c r="G576" s="310"/>
      <c r="H576" s="318"/>
      <c r="I576" s="225" t="s">
        <v>945</v>
      </c>
      <c r="J576" s="1957">
        <f>21200/10000</f>
        <v>2.12</v>
      </c>
      <c r="K576" s="1952">
        <f>14600/10000</f>
        <v>1.46</v>
      </c>
      <c r="L576" s="1953">
        <f t="shared" si="46"/>
        <v>0.116095</v>
      </c>
      <c r="M576" s="1954">
        <f t="shared" si="47"/>
        <v>2.236095</v>
      </c>
      <c r="N576" s="1955">
        <f t="shared" si="48"/>
        <v>1.576095</v>
      </c>
      <c r="O576" s="1591">
        <f t="shared" si="49"/>
        <v>0.00022360950000000003</v>
      </c>
      <c r="P576" s="1592">
        <f t="shared" si="50"/>
        <v>0.0001576095</v>
      </c>
      <c r="Q576" s="482">
        <f t="shared" si="51"/>
        <v>14640</v>
      </c>
      <c r="R576" s="2555">
        <v>17700</v>
      </c>
      <c r="S576" s="2555">
        <v>12200</v>
      </c>
      <c r="T576" s="2568">
        <f t="shared" si="52"/>
        <v>21240</v>
      </c>
      <c r="U576" s="2568">
        <f t="shared" si="53"/>
        <v>14640</v>
      </c>
      <c r="V576" s="2555">
        <v>17700</v>
      </c>
      <c r="W576" s="2555">
        <v>12200</v>
      </c>
      <c r="X576" s="2575"/>
      <c r="Y576" s="2575"/>
      <c r="Z576" s="2575"/>
      <c r="AA576" s="2575"/>
      <c r="AB576" s="2575"/>
    </row>
    <row r="577" spans="1:28" s="165" customFormat="1" ht="19.5">
      <c r="A577" s="221" t="s">
        <v>272</v>
      </c>
      <c r="B577" s="310" t="s">
        <v>948</v>
      </c>
      <c r="C577" s="310"/>
      <c r="D577" s="310"/>
      <c r="E577" s="310"/>
      <c r="F577" s="310"/>
      <c r="G577" s="310"/>
      <c r="H577" s="318"/>
      <c r="I577" s="225" t="s">
        <v>945</v>
      </c>
      <c r="J577" s="1951">
        <f>8200/10000</f>
        <v>0.82</v>
      </c>
      <c r="K577" s="1958">
        <f>1700/10000</f>
        <v>0.17</v>
      </c>
      <c r="L577" s="1953">
        <f t="shared" si="46"/>
        <v>0.045937</v>
      </c>
      <c r="M577" s="1954">
        <f t="shared" si="47"/>
        <v>0.865937</v>
      </c>
      <c r="N577" s="1955">
        <f t="shared" si="48"/>
        <v>0.21593700000000002</v>
      </c>
      <c r="O577" s="1591">
        <f t="shared" si="49"/>
        <v>8.65937E-05</v>
      </c>
      <c r="P577" s="1592">
        <f t="shared" si="50"/>
        <v>2.1593700000000003E-05</v>
      </c>
      <c r="Q577" s="482">
        <f t="shared" si="51"/>
        <v>1680</v>
      </c>
      <c r="R577" s="2555">
        <v>6800</v>
      </c>
      <c r="S577" s="2555">
        <v>1400</v>
      </c>
      <c r="T577" s="2568">
        <f t="shared" si="52"/>
        <v>8160</v>
      </c>
      <c r="U577" s="2568">
        <f t="shared" si="53"/>
        <v>1680</v>
      </c>
      <c r="V577" s="2555">
        <v>6800</v>
      </c>
      <c r="W577" s="2555">
        <v>1400</v>
      </c>
      <c r="X577" s="2575"/>
      <c r="Y577" s="2575"/>
      <c r="Z577" s="2575"/>
      <c r="AA577" s="2575"/>
      <c r="AB577" s="2575"/>
    </row>
    <row r="578" spans="1:28" s="165" customFormat="1" ht="19.5">
      <c r="A578" s="221" t="s">
        <v>271</v>
      </c>
      <c r="B578" s="310" t="s">
        <v>949</v>
      </c>
      <c r="C578" s="310"/>
      <c r="D578" s="310"/>
      <c r="E578" s="310"/>
      <c r="F578" s="310"/>
      <c r="G578" s="310"/>
      <c r="H578" s="318"/>
      <c r="I578" s="225" t="s">
        <v>945</v>
      </c>
      <c r="J578" s="1951">
        <f>8200/10000</f>
        <v>0.82</v>
      </c>
      <c r="K578" s="1958">
        <f>1700/10000</f>
        <v>0.17</v>
      </c>
      <c r="L578" s="1953">
        <f t="shared" si="46"/>
        <v>0.16358199999999998</v>
      </c>
      <c r="M578" s="1954">
        <f t="shared" si="47"/>
        <v>0.983582</v>
      </c>
      <c r="N578" s="1955">
        <f t="shared" si="48"/>
        <v>0.333582</v>
      </c>
      <c r="O578" s="1591">
        <f t="shared" si="49"/>
        <v>9.83582E-05</v>
      </c>
      <c r="P578" s="1592">
        <f t="shared" si="50"/>
        <v>3.33582E-05</v>
      </c>
      <c r="Q578" s="482">
        <f t="shared" si="51"/>
        <v>1680</v>
      </c>
      <c r="R578" s="2555">
        <v>6800</v>
      </c>
      <c r="S578" s="2555">
        <v>1400</v>
      </c>
      <c r="T578" s="2568">
        <f t="shared" si="52"/>
        <v>8160</v>
      </c>
      <c r="U578" s="2568">
        <f t="shared" si="53"/>
        <v>1680</v>
      </c>
      <c r="V578" s="2555">
        <v>6800</v>
      </c>
      <c r="W578" s="2555">
        <v>1400</v>
      </c>
      <c r="X578" s="2575"/>
      <c r="Y578" s="2575"/>
      <c r="Z578" s="2575"/>
      <c r="AA578" s="2575"/>
      <c r="AB578" s="2575"/>
    </row>
    <row r="579" spans="1:28" s="165" customFormat="1" ht="19.5">
      <c r="A579" s="221" t="s">
        <v>270</v>
      </c>
      <c r="B579" s="310" t="s">
        <v>950</v>
      </c>
      <c r="C579" s="310"/>
      <c r="D579" s="310"/>
      <c r="E579" s="310"/>
      <c r="F579" s="310"/>
      <c r="G579" s="310"/>
      <c r="H579" s="318"/>
      <c r="I579" s="225" t="s">
        <v>945</v>
      </c>
      <c r="J579" s="1951">
        <f>8200/10000</f>
        <v>0.82</v>
      </c>
      <c r="K579" s="1958">
        <f>1700/10000</f>
        <v>0.17</v>
      </c>
      <c r="L579" s="1953">
        <f t="shared" si="46"/>
        <v>0.163267</v>
      </c>
      <c r="M579" s="1954">
        <f t="shared" si="47"/>
        <v>0.9832669999999999</v>
      </c>
      <c r="N579" s="1955">
        <f t="shared" si="48"/>
        <v>0.333267</v>
      </c>
      <c r="O579" s="1591">
        <f t="shared" si="49"/>
        <v>9.832669999999999E-05</v>
      </c>
      <c r="P579" s="1592">
        <f t="shared" si="50"/>
        <v>3.33267E-05</v>
      </c>
      <c r="Q579" s="482">
        <f t="shared" si="51"/>
        <v>1680</v>
      </c>
      <c r="R579" s="2555">
        <v>6800</v>
      </c>
      <c r="S579" s="2555">
        <v>1400</v>
      </c>
      <c r="T579" s="2568">
        <f t="shared" si="52"/>
        <v>8160</v>
      </c>
      <c r="U579" s="2568">
        <f t="shared" si="53"/>
        <v>1680</v>
      </c>
      <c r="V579" s="2555">
        <v>6800</v>
      </c>
      <c r="W579" s="2555">
        <v>1400</v>
      </c>
      <c r="X579" s="2575"/>
      <c r="Y579" s="2575"/>
      <c r="Z579" s="2575"/>
      <c r="AA579" s="2575"/>
      <c r="AB579" s="2575"/>
    </row>
    <row r="580" spans="1:28" s="165" customFormat="1" ht="19.5">
      <c r="A580" s="221" t="s">
        <v>269</v>
      </c>
      <c r="B580" s="310" t="s">
        <v>951</v>
      </c>
      <c r="C580" s="310"/>
      <c r="D580" s="310"/>
      <c r="E580" s="310"/>
      <c r="F580" s="310"/>
      <c r="G580" s="310"/>
      <c r="H580" s="318"/>
      <c r="I580" s="225" t="s">
        <v>945</v>
      </c>
      <c r="J580" s="1957">
        <f>13100/10000</f>
        <v>1.31</v>
      </c>
      <c r="K580" s="1951">
        <f>8200/10000</f>
        <v>0.82</v>
      </c>
      <c r="L580" s="1953">
        <f t="shared" si="46"/>
        <v>0.0574</v>
      </c>
      <c r="M580" s="1954">
        <f t="shared" si="47"/>
        <v>1.3674</v>
      </c>
      <c r="N580" s="1955">
        <f t="shared" si="48"/>
        <v>0.8774</v>
      </c>
      <c r="O580" s="1591">
        <f t="shared" si="49"/>
        <v>0.00013674</v>
      </c>
      <c r="P580" s="1592">
        <f t="shared" si="50"/>
        <v>8.774E-05</v>
      </c>
      <c r="Q580" s="482">
        <f t="shared" si="51"/>
        <v>8160</v>
      </c>
      <c r="R580" s="2555">
        <v>10900</v>
      </c>
      <c r="S580" s="2555">
        <v>6800</v>
      </c>
      <c r="T580" s="2568">
        <f t="shared" si="52"/>
        <v>13080</v>
      </c>
      <c r="U580" s="2568">
        <f t="shared" si="53"/>
        <v>8160</v>
      </c>
      <c r="V580" s="2555">
        <v>10900</v>
      </c>
      <c r="W580" s="2555">
        <v>6800</v>
      </c>
      <c r="X580" s="2575"/>
      <c r="Y580" s="2575"/>
      <c r="Z580" s="2575"/>
      <c r="AA580" s="2575"/>
      <c r="AB580" s="2575"/>
    </row>
    <row r="581" spans="1:28" s="165" customFormat="1" ht="17.25">
      <c r="A581" s="224" t="s">
        <v>263</v>
      </c>
      <c r="B581" s="1606" t="s">
        <v>952</v>
      </c>
      <c r="C581" s="1606"/>
      <c r="D581" s="1606"/>
      <c r="E581" s="310"/>
      <c r="F581" s="310"/>
      <c r="G581" s="310"/>
      <c r="H581" s="318"/>
      <c r="I581" s="226"/>
      <c r="J581" s="1957"/>
      <c r="K581" s="1952"/>
      <c r="L581" s="1937"/>
      <c r="M581" s="1954"/>
      <c r="N581" s="1956"/>
      <c r="O581" s="1580"/>
      <c r="P581" s="1314"/>
      <c r="Q581" s="150"/>
      <c r="R581" s="2555"/>
      <c r="S581" s="2555"/>
      <c r="T581" s="2565"/>
      <c r="U581" s="2565"/>
      <c r="V581" s="2555"/>
      <c r="W581" s="2555"/>
      <c r="X581" s="2575"/>
      <c r="Y581" s="2575"/>
      <c r="Z581" s="2575"/>
      <c r="AA581" s="2575"/>
      <c r="AB581" s="2575"/>
    </row>
    <row r="582" spans="1:28" s="165" customFormat="1" ht="19.5">
      <c r="A582" s="221" t="s">
        <v>264</v>
      </c>
      <c r="B582" s="310" t="s">
        <v>953</v>
      </c>
      <c r="C582" s="310"/>
      <c r="D582" s="310"/>
      <c r="E582" s="310"/>
      <c r="F582" s="310"/>
      <c r="G582" s="310"/>
      <c r="H582" s="318"/>
      <c r="I582" s="225" t="s">
        <v>945</v>
      </c>
      <c r="J582" s="1957">
        <f>9700/10000</f>
        <v>0.97</v>
      </c>
      <c r="K582" s="1958">
        <f>J582</f>
        <v>0.97</v>
      </c>
      <c r="L582" s="1953">
        <f>L43</f>
        <v>0</v>
      </c>
      <c r="M582" s="1954">
        <f>J582+L582</f>
        <v>0.97</v>
      </c>
      <c r="N582" s="1955">
        <f>K582+L582</f>
        <v>0.97</v>
      </c>
      <c r="O582" s="1591">
        <f>M582/10000</f>
        <v>9.7E-05</v>
      </c>
      <c r="P582" s="1592">
        <f>N582/10000</f>
        <v>9.7E-05</v>
      </c>
      <c r="Q582" s="482">
        <f>S582*1.2</f>
        <v>9720</v>
      </c>
      <c r="R582" s="2555">
        <v>8100</v>
      </c>
      <c r="S582" s="2555">
        <v>8100</v>
      </c>
      <c r="T582" s="2568">
        <f>V582*1.2</f>
        <v>9720</v>
      </c>
      <c r="U582" s="2568">
        <f>W582*1.2</f>
        <v>9720</v>
      </c>
      <c r="V582" s="2555">
        <v>8100</v>
      </c>
      <c r="W582" s="2555">
        <v>8100</v>
      </c>
      <c r="X582" s="2575"/>
      <c r="Y582" s="2575"/>
      <c r="Z582" s="2575"/>
      <c r="AA582" s="2575"/>
      <c r="AB582" s="2575"/>
    </row>
    <row r="583" spans="1:28" s="165" customFormat="1" ht="19.5">
      <c r="A583" s="221" t="s">
        <v>265</v>
      </c>
      <c r="B583" s="310" t="s">
        <v>954</v>
      </c>
      <c r="C583" s="310"/>
      <c r="D583" s="310"/>
      <c r="E583" s="310"/>
      <c r="F583" s="310"/>
      <c r="G583" s="310"/>
      <c r="H583" s="318"/>
      <c r="I583" s="225" t="s">
        <v>945</v>
      </c>
      <c r="J583" s="1951">
        <f>91200/10000</f>
        <v>9.12</v>
      </c>
      <c r="K583" s="1958">
        <f>81500/10000</f>
        <v>8.15</v>
      </c>
      <c r="L583" s="1953">
        <f>L44</f>
        <v>0.01</v>
      </c>
      <c r="M583" s="1954">
        <f>J583+L583</f>
        <v>9.129999999999999</v>
      </c>
      <c r="N583" s="1955">
        <f>K583+L583</f>
        <v>8.16</v>
      </c>
      <c r="O583" s="1591">
        <f>M583/10000</f>
        <v>0.0009129999999999999</v>
      </c>
      <c r="P583" s="1592">
        <f>N583/10000</f>
        <v>0.000816</v>
      </c>
      <c r="Q583" s="482">
        <f>S583*1.2</f>
        <v>81480</v>
      </c>
      <c r="R583" s="2555">
        <v>76000</v>
      </c>
      <c r="S583" s="2555">
        <v>67900</v>
      </c>
      <c r="T583" s="2568">
        <f>V583*1.2</f>
        <v>91200</v>
      </c>
      <c r="U583" s="2568">
        <f>W583*1.2</f>
        <v>81480</v>
      </c>
      <c r="V583" s="2555">
        <v>76000</v>
      </c>
      <c r="W583" s="2555">
        <v>67900</v>
      </c>
      <c r="X583" s="2575"/>
      <c r="Y583" s="2575"/>
      <c r="Z583" s="2575"/>
      <c r="AA583" s="2575"/>
      <c r="AB583" s="2575"/>
    </row>
    <row r="584" spans="1:28" s="165" customFormat="1" ht="17.25">
      <c r="A584" s="214">
        <v>3</v>
      </c>
      <c r="B584" s="1605" t="s">
        <v>955</v>
      </c>
      <c r="C584" s="310"/>
      <c r="D584" s="310"/>
      <c r="E584" s="310"/>
      <c r="F584" s="310"/>
      <c r="G584" s="310"/>
      <c r="H584" s="318"/>
      <c r="I584" s="226"/>
      <c r="J584" s="1951"/>
      <c r="K584" s="1952"/>
      <c r="L584" s="1937"/>
      <c r="M584" s="1954"/>
      <c r="N584" s="1956"/>
      <c r="O584" s="1580"/>
      <c r="P584" s="1314"/>
      <c r="Q584" s="150"/>
      <c r="R584" s="2555"/>
      <c r="S584" s="2555"/>
      <c r="T584" s="2565"/>
      <c r="U584" s="2565"/>
      <c r="V584" s="2555"/>
      <c r="W584" s="2555"/>
      <c r="X584" s="2575"/>
      <c r="Y584" s="2575"/>
      <c r="Z584" s="2575"/>
      <c r="AA584" s="2575"/>
      <c r="AB584" s="2575"/>
    </row>
    <row r="585" spans="1:28" s="165" customFormat="1" ht="19.5">
      <c r="A585" s="221" t="s">
        <v>867</v>
      </c>
      <c r="B585" s="310" t="s">
        <v>956</v>
      </c>
      <c r="C585" s="310"/>
      <c r="D585" s="310"/>
      <c r="E585" s="310"/>
      <c r="F585" s="310"/>
      <c r="G585" s="310"/>
      <c r="H585" s="318"/>
      <c r="I585" s="225" t="s">
        <v>945</v>
      </c>
      <c r="J585" s="1957">
        <f>13100/10000</f>
        <v>1.31</v>
      </c>
      <c r="K585" s="1951">
        <f>8200/10000</f>
        <v>0.82</v>
      </c>
      <c r="L585" s="1953">
        <f aca="true" t="shared" si="54" ref="L585:L590">L46</f>
        <v>0.059199999999999996</v>
      </c>
      <c r="M585" s="1954">
        <f aca="true" t="shared" si="55" ref="M585:M590">J585+L585</f>
        <v>1.3692</v>
      </c>
      <c r="N585" s="1955">
        <f aca="true" t="shared" si="56" ref="N585:N590">K585+L585</f>
        <v>0.8792</v>
      </c>
      <c r="O585" s="1591">
        <f aca="true" t="shared" si="57" ref="O585:O590">M585/10000</f>
        <v>0.00013692</v>
      </c>
      <c r="P585" s="1592">
        <f aca="true" t="shared" si="58" ref="P585:P590">N585/10000</f>
        <v>8.792E-05</v>
      </c>
      <c r="Q585" s="482">
        <f aca="true" t="shared" si="59" ref="Q585:Q590">S585*1.2</f>
        <v>8160</v>
      </c>
      <c r="R585" s="2555">
        <v>10900</v>
      </c>
      <c r="S585" s="2555">
        <v>6800</v>
      </c>
      <c r="T585" s="2568">
        <f aca="true" t="shared" si="60" ref="T585:T590">V585*1.2</f>
        <v>13080</v>
      </c>
      <c r="U585" s="2568">
        <f aca="true" t="shared" si="61" ref="U585:U590">W585*1.2</f>
        <v>8160</v>
      </c>
      <c r="V585" s="2555">
        <v>10900</v>
      </c>
      <c r="W585" s="2555">
        <v>6800</v>
      </c>
      <c r="X585" s="2575"/>
      <c r="Y585" s="2575"/>
      <c r="Z585" s="2575"/>
      <c r="AA585" s="2575"/>
      <c r="AB585" s="2575"/>
    </row>
    <row r="586" spans="1:28" s="165" customFormat="1" ht="19.5">
      <c r="A586" s="221" t="s">
        <v>871</v>
      </c>
      <c r="B586" s="310" t="s">
        <v>957</v>
      </c>
      <c r="C586" s="310"/>
      <c r="D586" s="310"/>
      <c r="E586" s="310"/>
      <c r="F586" s="310"/>
      <c r="G586" s="310"/>
      <c r="H586" s="318"/>
      <c r="I586" s="225" t="s">
        <v>945</v>
      </c>
      <c r="J586" s="1951">
        <f>31000/10000</f>
        <v>3.1</v>
      </c>
      <c r="K586" s="1952">
        <f>22800/10000</f>
        <v>2.28</v>
      </c>
      <c r="L586" s="1953">
        <f t="shared" si="54"/>
        <v>0.40800000000000003</v>
      </c>
      <c r="M586" s="1954">
        <f t="shared" si="55"/>
        <v>3.508</v>
      </c>
      <c r="N586" s="1955">
        <f t="shared" si="56"/>
        <v>2.6879999999999997</v>
      </c>
      <c r="O586" s="1591">
        <f t="shared" si="57"/>
        <v>0.0003508</v>
      </c>
      <c r="P586" s="1592">
        <f t="shared" si="58"/>
        <v>0.0002688</v>
      </c>
      <c r="Q586" s="482">
        <f t="shared" si="59"/>
        <v>22800</v>
      </c>
      <c r="R586" s="2555">
        <v>25800</v>
      </c>
      <c r="S586" s="2555">
        <v>19000</v>
      </c>
      <c r="T586" s="2568">
        <f t="shared" si="60"/>
        <v>30960</v>
      </c>
      <c r="U586" s="2568">
        <f t="shared" si="61"/>
        <v>22800</v>
      </c>
      <c r="V586" s="2555">
        <v>25800</v>
      </c>
      <c r="W586" s="2555">
        <v>19000</v>
      </c>
      <c r="X586" s="2575"/>
      <c r="Y586" s="2575"/>
      <c r="Z586" s="2575"/>
      <c r="AA586" s="2575"/>
      <c r="AB586" s="2575"/>
    </row>
    <row r="587" spans="1:28" s="165" customFormat="1" ht="19.5">
      <c r="A587" s="221" t="s">
        <v>876</v>
      </c>
      <c r="B587" s="310" t="s">
        <v>958</v>
      </c>
      <c r="C587" s="310"/>
      <c r="D587" s="310"/>
      <c r="E587" s="310"/>
      <c r="F587" s="310"/>
      <c r="G587" s="310"/>
      <c r="H587" s="318"/>
      <c r="I587" s="225" t="s">
        <v>945</v>
      </c>
      <c r="J587" s="1951">
        <f>45600/10000</f>
        <v>4.56</v>
      </c>
      <c r="K587" s="1952">
        <f>45600/10000</f>
        <v>4.56</v>
      </c>
      <c r="L587" s="1953">
        <f t="shared" si="54"/>
        <v>0.22236999999999998</v>
      </c>
      <c r="M587" s="1954">
        <f t="shared" si="55"/>
        <v>4.782369999999999</v>
      </c>
      <c r="N587" s="1955">
        <f t="shared" si="56"/>
        <v>4.782369999999999</v>
      </c>
      <c r="O587" s="1591">
        <f t="shared" si="57"/>
        <v>0.00047823699999999995</v>
      </c>
      <c r="P587" s="1592">
        <f t="shared" si="58"/>
        <v>0.00047823699999999995</v>
      </c>
      <c r="Q587" s="482">
        <f t="shared" si="59"/>
        <v>45600</v>
      </c>
      <c r="R587" s="2555">
        <v>38000</v>
      </c>
      <c r="S587" s="2555">
        <v>38000</v>
      </c>
      <c r="T587" s="2568">
        <f t="shared" si="60"/>
        <v>45600</v>
      </c>
      <c r="U587" s="2568">
        <f t="shared" si="61"/>
        <v>45600</v>
      </c>
      <c r="V587" s="2555">
        <v>38000</v>
      </c>
      <c r="W587" s="2555">
        <v>38000</v>
      </c>
      <c r="X587" s="2575"/>
      <c r="Y587" s="2575"/>
      <c r="Z587" s="2575"/>
      <c r="AA587" s="2575"/>
      <c r="AB587" s="2575"/>
    </row>
    <row r="588" spans="1:28" s="165" customFormat="1" ht="19.5">
      <c r="A588" s="221" t="s">
        <v>266</v>
      </c>
      <c r="B588" s="310" t="s">
        <v>0</v>
      </c>
      <c r="C588" s="310"/>
      <c r="D588" s="310"/>
      <c r="E588" s="310"/>
      <c r="F588" s="310"/>
      <c r="G588" s="310"/>
      <c r="H588" s="318"/>
      <c r="I588" s="225" t="s">
        <v>945</v>
      </c>
      <c r="J588" s="1957">
        <f>58700/10000</f>
        <v>5.87</v>
      </c>
      <c r="K588" s="1958">
        <f>35900/10000</f>
        <v>3.59</v>
      </c>
      <c r="L588" s="1953">
        <f t="shared" si="54"/>
        <v>0.12465999999999999</v>
      </c>
      <c r="M588" s="1954">
        <f t="shared" si="55"/>
        <v>5.99466</v>
      </c>
      <c r="N588" s="1955">
        <f t="shared" si="56"/>
        <v>3.71466</v>
      </c>
      <c r="O588" s="1591">
        <f t="shared" si="57"/>
        <v>0.000599466</v>
      </c>
      <c r="P588" s="1592">
        <f t="shared" si="58"/>
        <v>0.000371466</v>
      </c>
      <c r="Q588" s="482">
        <f t="shared" si="59"/>
        <v>35880</v>
      </c>
      <c r="R588" s="2555">
        <v>48900</v>
      </c>
      <c r="S588" s="2555">
        <v>29900</v>
      </c>
      <c r="T588" s="2568">
        <f t="shared" si="60"/>
        <v>58680</v>
      </c>
      <c r="U588" s="2568">
        <f t="shared" si="61"/>
        <v>35880</v>
      </c>
      <c r="V588" s="2555">
        <v>48900</v>
      </c>
      <c r="W588" s="2555">
        <v>29900</v>
      </c>
      <c r="X588" s="2575"/>
      <c r="Y588" s="2575"/>
      <c r="Z588" s="2575"/>
      <c r="AA588" s="2575"/>
      <c r="AB588" s="2575"/>
    </row>
    <row r="589" spans="1:28" s="165" customFormat="1" ht="19.5">
      <c r="A589" s="221" t="s">
        <v>882</v>
      </c>
      <c r="B589" s="310" t="s">
        <v>1</v>
      </c>
      <c r="C589" s="310"/>
      <c r="D589" s="310"/>
      <c r="E589" s="310"/>
      <c r="F589" s="310"/>
      <c r="G589" s="310"/>
      <c r="H589" s="318"/>
      <c r="I589" s="225" t="s">
        <v>945</v>
      </c>
      <c r="J589" s="1957">
        <f>6500/10000</f>
        <v>0.65</v>
      </c>
      <c r="K589" s="1958">
        <f>6500/10000</f>
        <v>0.65</v>
      </c>
      <c r="L589" s="1953">
        <f t="shared" si="54"/>
        <v>0</v>
      </c>
      <c r="M589" s="1954">
        <f t="shared" si="55"/>
        <v>0.65</v>
      </c>
      <c r="N589" s="1955">
        <f t="shared" si="56"/>
        <v>0.65</v>
      </c>
      <c r="O589" s="1591">
        <f t="shared" si="57"/>
        <v>6.500000000000001E-05</v>
      </c>
      <c r="P589" s="1592">
        <f t="shared" si="58"/>
        <v>6.500000000000001E-05</v>
      </c>
      <c r="Q589" s="482">
        <f t="shared" si="59"/>
        <v>6480</v>
      </c>
      <c r="R589" s="2555">
        <v>5400</v>
      </c>
      <c r="S589" s="2555">
        <v>5400</v>
      </c>
      <c r="T589" s="2568">
        <f t="shared" si="60"/>
        <v>6480</v>
      </c>
      <c r="U589" s="2568">
        <f t="shared" si="61"/>
        <v>6480</v>
      </c>
      <c r="V589" s="2555">
        <v>5400</v>
      </c>
      <c r="W589" s="2555">
        <v>5400</v>
      </c>
      <c r="X589" s="2575"/>
      <c r="Y589" s="2575"/>
      <c r="Z589" s="2575"/>
      <c r="AA589" s="2575"/>
      <c r="AB589" s="2575"/>
    </row>
    <row r="590" spans="1:28" s="165" customFormat="1" ht="19.5">
      <c r="A590" s="221" t="s">
        <v>267</v>
      </c>
      <c r="B590" s="2258" t="s">
        <v>2</v>
      </c>
      <c r="C590" s="2259"/>
      <c r="D590" s="2259"/>
      <c r="E590" s="2259"/>
      <c r="F590" s="2259"/>
      <c r="G590" s="2259"/>
      <c r="H590" s="2260"/>
      <c r="I590" s="225" t="s">
        <v>945</v>
      </c>
      <c r="J590" s="1957">
        <f>21200/10000</f>
        <v>2.12</v>
      </c>
      <c r="K590" s="1958">
        <f>16300/10000</f>
        <v>1.63</v>
      </c>
      <c r="L590" s="1953">
        <f t="shared" si="54"/>
        <v>0.388</v>
      </c>
      <c r="M590" s="1954">
        <f t="shared" si="55"/>
        <v>2.508</v>
      </c>
      <c r="N590" s="1955">
        <f t="shared" si="56"/>
        <v>2.018</v>
      </c>
      <c r="O590" s="1591">
        <f t="shared" si="57"/>
        <v>0.0002508</v>
      </c>
      <c r="P590" s="1592">
        <f t="shared" si="58"/>
        <v>0.00020179999999999997</v>
      </c>
      <c r="Q590" s="482">
        <f t="shared" si="59"/>
        <v>16320</v>
      </c>
      <c r="R590" s="2555">
        <v>17700</v>
      </c>
      <c r="S590" s="2555">
        <v>13600</v>
      </c>
      <c r="T590" s="2568">
        <f t="shared" si="60"/>
        <v>21240</v>
      </c>
      <c r="U590" s="2568">
        <f t="shared" si="61"/>
        <v>16320</v>
      </c>
      <c r="V590" s="2555">
        <v>17700</v>
      </c>
      <c r="W590" s="2555">
        <v>13600</v>
      </c>
      <c r="X590" s="2575"/>
      <c r="Y590" s="2575"/>
      <c r="Z590" s="2575"/>
      <c r="AA590" s="2575"/>
      <c r="AB590" s="2575"/>
    </row>
    <row r="591" spans="1:28" s="165" customFormat="1" ht="13.5" customHeight="1">
      <c r="A591" s="221"/>
      <c r="B591" s="2258"/>
      <c r="C591" s="2259"/>
      <c r="D591" s="2259"/>
      <c r="E591" s="2259"/>
      <c r="F591" s="2259"/>
      <c r="G591" s="2259"/>
      <c r="H591" s="2260"/>
      <c r="I591" s="225"/>
      <c r="J591" s="1951"/>
      <c r="K591" s="1952"/>
      <c r="L591" s="1937"/>
      <c r="M591" s="1954"/>
      <c r="N591" s="1955"/>
      <c r="O591" s="1580"/>
      <c r="P591" s="1314"/>
      <c r="Q591" s="150"/>
      <c r="R591" s="2555"/>
      <c r="S591" s="2555"/>
      <c r="T591" s="2565"/>
      <c r="U591" s="2565"/>
      <c r="V591" s="2555"/>
      <c r="W591" s="2555"/>
      <c r="X591" s="2575"/>
      <c r="Y591" s="2575"/>
      <c r="Z591" s="2575"/>
      <c r="AA591" s="2575"/>
      <c r="AB591" s="2575"/>
    </row>
    <row r="592" spans="1:28" s="165" customFormat="1" ht="17.25">
      <c r="A592" s="221" t="s">
        <v>268</v>
      </c>
      <c r="B592" s="2258" t="s">
        <v>3</v>
      </c>
      <c r="C592" s="2259"/>
      <c r="D592" s="2259"/>
      <c r="E592" s="2259"/>
      <c r="F592" s="2259"/>
      <c r="G592" s="2259"/>
      <c r="H592" s="2260"/>
      <c r="I592" s="226"/>
      <c r="J592" s="1951"/>
      <c r="K592" s="1952"/>
      <c r="L592" s="1937"/>
      <c r="M592" s="1954"/>
      <c r="N592" s="1956"/>
      <c r="O592" s="1580"/>
      <c r="P592" s="1314"/>
      <c r="Q592" s="150"/>
      <c r="R592" s="2555"/>
      <c r="S592" s="2555"/>
      <c r="T592" s="2565"/>
      <c r="U592" s="2565"/>
      <c r="V592" s="2555"/>
      <c r="W592" s="2555"/>
      <c r="X592" s="2575"/>
      <c r="Y592" s="2575"/>
      <c r="Z592" s="2575"/>
      <c r="AA592" s="2575"/>
      <c r="AB592" s="2575"/>
    </row>
    <row r="593" spans="1:28" s="165" customFormat="1" ht="33" customHeight="1">
      <c r="A593" s="187"/>
      <c r="B593" s="2258"/>
      <c r="C593" s="2259"/>
      <c r="D593" s="2259"/>
      <c r="E593" s="2259"/>
      <c r="F593" s="2259"/>
      <c r="G593" s="2259"/>
      <c r="H593" s="2260"/>
      <c r="I593" s="225" t="s">
        <v>945</v>
      </c>
      <c r="J593" s="1957">
        <f>40700/10000</f>
        <v>4.07</v>
      </c>
      <c r="K593" s="1952">
        <f>22800/10000</f>
        <v>2.28</v>
      </c>
      <c r="L593" s="1953">
        <f>L54</f>
        <v>0.11055999999999999</v>
      </c>
      <c r="M593" s="1954">
        <f>J593+L593</f>
        <v>4.18056</v>
      </c>
      <c r="N593" s="1955">
        <f>K593+L593</f>
        <v>2.39056</v>
      </c>
      <c r="O593" s="1591">
        <f>M593/10000</f>
        <v>0.000418056</v>
      </c>
      <c r="P593" s="1592">
        <f>N593/10000</f>
        <v>0.00023905599999999997</v>
      </c>
      <c r="Q593" s="482">
        <f>S593*1.2</f>
        <v>22800</v>
      </c>
      <c r="R593" s="2555">
        <v>33900</v>
      </c>
      <c r="S593" s="2555">
        <v>19000</v>
      </c>
      <c r="T593" s="2568">
        <f>V593*1.2</f>
        <v>40680</v>
      </c>
      <c r="U593" s="2568">
        <f>W593*1.2</f>
        <v>22800</v>
      </c>
      <c r="V593" s="2555">
        <v>33900</v>
      </c>
      <c r="W593" s="2555">
        <v>19000</v>
      </c>
      <c r="X593" s="2575"/>
      <c r="Y593" s="2575"/>
      <c r="Z593" s="2575"/>
      <c r="AA593" s="2575"/>
      <c r="AB593" s="2575"/>
    </row>
    <row r="594" spans="1:28" s="165" customFormat="1" ht="17.25">
      <c r="A594" s="214">
        <v>5</v>
      </c>
      <c r="B594" s="1605" t="s">
        <v>4</v>
      </c>
      <c r="C594" s="310"/>
      <c r="D594" s="310"/>
      <c r="E594" s="310"/>
      <c r="F594" s="310"/>
      <c r="G594" s="310"/>
      <c r="H594" s="318"/>
      <c r="I594" s="226"/>
      <c r="J594" s="1957"/>
      <c r="K594" s="1936"/>
      <c r="L594" s="1937"/>
      <c r="M594" s="1954"/>
      <c r="N594" s="1956"/>
      <c r="O594" s="1580"/>
      <c r="P594" s="1314"/>
      <c r="Q594" s="150"/>
      <c r="R594" s="2555"/>
      <c r="S594" s="2555"/>
      <c r="T594" s="2565"/>
      <c r="U594" s="2565"/>
      <c r="V594" s="2555"/>
      <c r="W594" s="2555"/>
      <c r="X594" s="2575"/>
      <c r="Y594" s="2575"/>
      <c r="Z594" s="2575"/>
      <c r="AA594" s="2575"/>
      <c r="AB594" s="2575"/>
    </row>
    <row r="595" spans="1:28" s="165" customFormat="1" ht="19.5">
      <c r="A595" s="221" t="s">
        <v>275</v>
      </c>
      <c r="B595" s="310" t="s">
        <v>5</v>
      </c>
      <c r="C595" s="310"/>
      <c r="D595" s="310"/>
      <c r="E595" s="310"/>
      <c r="F595" s="310"/>
      <c r="G595" s="310"/>
      <c r="H595" s="318"/>
      <c r="I595" s="225" t="s">
        <v>945</v>
      </c>
      <c r="J595" s="1957">
        <f>16300/10000</f>
        <v>1.63</v>
      </c>
      <c r="K595" s="1951">
        <f>8200/10000</f>
        <v>0.82</v>
      </c>
      <c r="L595" s="1953">
        <f>L56</f>
        <v>0.18599000000000002</v>
      </c>
      <c r="M595" s="1959">
        <f>J595+L595</f>
        <v>1.81599</v>
      </c>
      <c r="N595" s="1955">
        <f>K595+L595</f>
        <v>1.00599</v>
      </c>
      <c r="O595" s="1591">
        <f>M595/10000</f>
        <v>0.000181599</v>
      </c>
      <c r="P595" s="1592">
        <f>N595/10000</f>
        <v>0.00010059899999999999</v>
      </c>
      <c r="Q595" s="482">
        <f>S595*1.2</f>
        <v>8160</v>
      </c>
      <c r="R595" s="2555">
        <v>13600</v>
      </c>
      <c r="S595" s="2555">
        <v>6800</v>
      </c>
      <c r="T595" s="2568">
        <f>V595*1.2</f>
        <v>16320</v>
      </c>
      <c r="U595" s="2568">
        <f>W595*1.2</f>
        <v>8160</v>
      </c>
      <c r="V595" s="2555">
        <v>13600</v>
      </c>
      <c r="W595" s="2555">
        <v>6800</v>
      </c>
      <c r="X595" s="2575"/>
      <c r="Y595" s="2575"/>
      <c r="Z595" s="2575"/>
      <c r="AA595" s="2575"/>
      <c r="AB595" s="2575"/>
    </row>
    <row r="596" spans="1:28" s="165" customFormat="1" ht="17.25">
      <c r="A596" s="221" t="s">
        <v>276</v>
      </c>
      <c r="B596" s="2258" t="s">
        <v>6</v>
      </c>
      <c r="C596" s="2259"/>
      <c r="D596" s="2259"/>
      <c r="E596" s="2259"/>
      <c r="F596" s="2259"/>
      <c r="G596" s="2259"/>
      <c r="H596" s="2260"/>
      <c r="I596" s="226"/>
      <c r="J596" s="1957"/>
      <c r="K596" s="1952"/>
      <c r="L596" s="1937"/>
      <c r="M596" s="1954"/>
      <c r="N596" s="1956"/>
      <c r="O596" s="1580"/>
      <c r="P596" s="1314"/>
      <c r="Q596" s="150"/>
      <c r="R596" s="2555"/>
      <c r="S596" s="2555"/>
      <c r="T596" s="2565"/>
      <c r="U596" s="2565"/>
      <c r="V596" s="2555"/>
      <c r="W596" s="2555"/>
      <c r="X596" s="2575"/>
      <c r="Y596" s="2575"/>
      <c r="Z596" s="2575"/>
      <c r="AA596" s="2575"/>
      <c r="AB596" s="2575"/>
    </row>
    <row r="597" spans="1:28" s="165" customFormat="1" ht="19.5">
      <c r="A597" s="221"/>
      <c r="B597" s="2258"/>
      <c r="C597" s="2259"/>
      <c r="D597" s="2259"/>
      <c r="E597" s="2259"/>
      <c r="F597" s="2259"/>
      <c r="G597" s="2259"/>
      <c r="H597" s="2260"/>
      <c r="I597" s="225" t="s">
        <v>945</v>
      </c>
      <c r="J597" s="1957">
        <f>24500/10000</f>
        <v>2.45</v>
      </c>
      <c r="K597" s="1958">
        <f>13100/10000</f>
        <v>1.31</v>
      </c>
      <c r="L597" s="1953">
        <f>L58</f>
        <v>0.48743</v>
      </c>
      <c r="M597" s="1954">
        <f>J597+L597</f>
        <v>2.93743</v>
      </c>
      <c r="N597" s="1955">
        <f>K597+L597</f>
        <v>1.79743</v>
      </c>
      <c r="O597" s="1591">
        <f>M597/10000</f>
        <v>0.000293743</v>
      </c>
      <c r="P597" s="1592">
        <f>N597/10000</f>
        <v>0.000179743</v>
      </c>
      <c r="Q597" s="482">
        <f>S597*1.2</f>
        <v>13080</v>
      </c>
      <c r="R597" s="2555">
        <v>20400</v>
      </c>
      <c r="S597" s="2555">
        <v>10900</v>
      </c>
      <c r="T597" s="2568">
        <f>V597*1.2</f>
        <v>24480</v>
      </c>
      <c r="U597" s="2568">
        <f>W597*1.2</f>
        <v>13080</v>
      </c>
      <c r="V597" s="2555">
        <v>20400</v>
      </c>
      <c r="W597" s="2555">
        <v>10900</v>
      </c>
      <c r="X597" s="2575"/>
      <c r="Y597" s="2575"/>
      <c r="Z597" s="2575"/>
      <c r="AA597" s="2575"/>
      <c r="AB597" s="2575"/>
    </row>
    <row r="598" spans="1:28" s="165" customFormat="1" ht="19.5">
      <c r="A598" s="221" t="s">
        <v>283</v>
      </c>
      <c r="B598" s="2258" t="s">
        <v>7</v>
      </c>
      <c r="C598" s="2259"/>
      <c r="D598" s="2259"/>
      <c r="E598" s="2259"/>
      <c r="F598" s="2259"/>
      <c r="G598" s="2259"/>
      <c r="H598" s="2260"/>
      <c r="I598" s="225" t="s">
        <v>945</v>
      </c>
      <c r="J598" s="1957">
        <f>29300/10000</f>
        <v>2.93</v>
      </c>
      <c r="K598" s="1952">
        <f>14600/10000</f>
        <v>1.46</v>
      </c>
      <c r="L598" s="1953">
        <f>L59</f>
        <v>0.24256</v>
      </c>
      <c r="M598" s="1959">
        <f>J598+L598</f>
        <v>3.1725600000000003</v>
      </c>
      <c r="N598" s="1955">
        <f>K598+L598</f>
        <v>1.70256</v>
      </c>
      <c r="O598" s="1591">
        <f>M598/10000</f>
        <v>0.000317256</v>
      </c>
      <c r="P598" s="1592">
        <f>N598/10000</f>
        <v>0.000170256</v>
      </c>
      <c r="Q598" s="482">
        <f>S598*1.2</f>
        <v>14640</v>
      </c>
      <c r="R598" s="2555">
        <v>24400</v>
      </c>
      <c r="S598" s="2555">
        <v>12200</v>
      </c>
      <c r="T598" s="2568">
        <f>V598*1.2</f>
        <v>29280</v>
      </c>
      <c r="U598" s="2568">
        <f>W598*1.2</f>
        <v>14640</v>
      </c>
      <c r="V598" s="2555">
        <v>24400</v>
      </c>
      <c r="W598" s="2555">
        <v>12200</v>
      </c>
      <c r="X598" s="2575"/>
      <c r="Y598" s="2575"/>
      <c r="Z598" s="2575"/>
      <c r="AA598" s="2575"/>
      <c r="AB598" s="2575"/>
    </row>
    <row r="599" spans="1:28" s="165" customFormat="1" ht="12" customHeight="1">
      <c r="A599" s="221"/>
      <c r="B599" s="2258"/>
      <c r="C599" s="2259"/>
      <c r="D599" s="2259"/>
      <c r="E599" s="2259"/>
      <c r="F599" s="2259"/>
      <c r="G599" s="2259"/>
      <c r="H599" s="2260"/>
      <c r="I599" s="225"/>
      <c r="J599" s="1957"/>
      <c r="K599" s="1952"/>
      <c r="L599" s="1937"/>
      <c r="M599" s="1954"/>
      <c r="N599" s="1955"/>
      <c r="O599" s="1580"/>
      <c r="P599" s="1314"/>
      <c r="Q599" s="150"/>
      <c r="R599" s="2555"/>
      <c r="S599" s="2555"/>
      <c r="T599" s="2565"/>
      <c r="U599" s="2565"/>
      <c r="V599" s="2555"/>
      <c r="W599" s="2555"/>
      <c r="X599" s="2575"/>
      <c r="Y599" s="2575"/>
      <c r="Z599" s="2575"/>
      <c r="AA599" s="2575"/>
      <c r="AB599" s="2575"/>
    </row>
    <row r="600" spans="1:28" s="165" customFormat="1" ht="19.5">
      <c r="A600" s="221" t="s">
        <v>284</v>
      </c>
      <c r="B600" s="310" t="s">
        <v>8</v>
      </c>
      <c r="C600" s="310"/>
      <c r="D600" s="310"/>
      <c r="E600" s="310"/>
      <c r="F600" s="310"/>
      <c r="G600" s="310"/>
      <c r="H600" s="318"/>
      <c r="I600" s="225" t="s">
        <v>945</v>
      </c>
      <c r="J600" s="1957">
        <f>21200/10000</f>
        <v>2.12</v>
      </c>
      <c r="K600" s="1952">
        <f>11400/10000</f>
        <v>1.14</v>
      </c>
      <c r="L600" s="1953">
        <f>L61</f>
        <v>0.21892999999999999</v>
      </c>
      <c r="M600" s="1954">
        <f>J600+L600</f>
        <v>2.33893</v>
      </c>
      <c r="N600" s="1955">
        <f>K600+L600</f>
        <v>1.35893</v>
      </c>
      <c r="O600" s="1591">
        <f>M600/10000</f>
        <v>0.000233893</v>
      </c>
      <c r="P600" s="1592">
        <f>N600/10000</f>
        <v>0.000135893</v>
      </c>
      <c r="Q600" s="482">
        <f>S600*1.2</f>
        <v>11400</v>
      </c>
      <c r="R600" s="2555">
        <v>17700</v>
      </c>
      <c r="S600" s="2555">
        <v>9500</v>
      </c>
      <c r="T600" s="2568">
        <f>V600*1.2</f>
        <v>21240</v>
      </c>
      <c r="U600" s="2568">
        <f>W600*1.2</f>
        <v>11400</v>
      </c>
      <c r="V600" s="2555">
        <v>17700</v>
      </c>
      <c r="W600" s="2555">
        <v>9500</v>
      </c>
      <c r="X600" s="2575"/>
      <c r="Y600" s="2575"/>
      <c r="Z600" s="2575"/>
      <c r="AA600" s="2575"/>
      <c r="AB600" s="2575"/>
    </row>
    <row r="601" spans="1:28" s="165" customFormat="1" ht="19.5">
      <c r="A601" s="221" t="s">
        <v>285</v>
      </c>
      <c r="B601" s="310" t="s">
        <v>9</v>
      </c>
      <c r="C601" s="310"/>
      <c r="D601" s="310"/>
      <c r="E601" s="310"/>
      <c r="F601" s="310"/>
      <c r="G601" s="310"/>
      <c r="H601" s="318"/>
      <c r="I601" s="225" t="s">
        <v>945</v>
      </c>
      <c r="J601" s="1957">
        <f>24500/10000</f>
        <v>2.45</v>
      </c>
      <c r="K601" s="1952" t="s">
        <v>622</v>
      </c>
      <c r="L601" s="1953">
        <f>L62</f>
        <v>1.1368</v>
      </c>
      <c r="M601" s="1954">
        <f>J601+L601</f>
        <v>3.5868</v>
      </c>
      <c r="N601" s="1955" t="s">
        <v>622</v>
      </c>
      <c r="O601" s="1591">
        <f>M601/10000</f>
        <v>0.00035868</v>
      </c>
      <c r="P601" s="1592" t="s">
        <v>622</v>
      </c>
      <c r="Q601" s="482"/>
      <c r="R601" s="2555">
        <v>20400</v>
      </c>
      <c r="S601" s="2555" t="s">
        <v>622</v>
      </c>
      <c r="T601" s="2568">
        <f>V601*1.2</f>
        <v>24480</v>
      </c>
      <c r="U601" s="2568"/>
      <c r="V601" s="2555">
        <v>20400</v>
      </c>
      <c r="W601" s="2555" t="s">
        <v>622</v>
      </c>
      <c r="X601" s="2575"/>
      <c r="Y601" s="2575"/>
      <c r="Z601" s="2575"/>
      <c r="AA601" s="2575"/>
      <c r="AB601" s="2575"/>
    </row>
    <row r="602" spans="1:28" s="165" customFormat="1" ht="17.25">
      <c r="A602" s="221" t="s">
        <v>286</v>
      </c>
      <c r="B602" s="2258" t="s">
        <v>12</v>
      </c>
      <c r="C602" s="2259"/>
      <c r="D602" s="2259"/>
      <c r="E602" s="2259"/>
      <c r="F602" s="2259"/>
      <c r="G602" s="2259"/>
      <c r="H602" s="2260"/>
      <c r="I602" s="225"/>
      <c r="J602" s="1951"/>
      <c r="K602" s="1952"/>
      <c r="L602" s="1937"/>
      <c r="M602" s="1954"/>
      <c r="N602" s="1955"/>
      <c r="O602" s="1580"/>
      <c r="P602" s="1314"/>
      <c r="Q602" s="150"/>
      <c r="R602" s="2555"/>
      <c r="S602" s="2555"/>
      <c r="T602" s="2565"/>
      <c r="U602" s="2565"/>
      <c r="V602" s="2555"/>
      <c r="W602" s="2555"/>
      <c r="X602" s="2575"/>
      <c r="Y602" s="2575"/>
      <c r="Z602" s="2575"/>
      <c r="AA602" s="2575"/>
      <c r="AB602" s="2575"/>
    </row>
    <row r="603" spans="1:28" s="165" customFormat="1" ht="17.25">
      <c r="A603" s="221"/>
      <c r="B603" s="2258"/>
      <c r="C603" s="2259"/>
      <c r="D603" s="2259"/>
      <c r="E603" s="2259"/>
      <c r="F603" s="2259"/>
      <c r="G603" s="2259"/>
      <c r="H603" s="2260"/>
      <c r="I603" s="225"/>
      <c r="J603" s="1951"/>
      <c r="K603" s="1952"/>
      <c r="L603" s="1937"/>
      <c r="M603" s="1959"/>
      <c r="N603" s="1960"/>
      <c r="O603" s="1580"/>
      <c r="P603" s="1314"/>
      <c r="Q603" s="150"/>
      <c r="R603" s="2555"/>
      <c r="S603" s="2555"/>
      <c r="T603" s="2565"/>
      <c r="U603" s="2565"/>
      <c r="V603" s="2555"/>
      <c r="W603" s="2555"/>
      <c r="X603" s="2575"/>
      <c r="Y603" s="2575"/>
      <c r="Z603" s="2575"/>
      <c r="AA603" s="2575"/>
      <c r="AB603" s="2575"/>
    </row>
    <row r="604" spans="1:28" s="165" customFormat="1" ht="17.25" customHeight="1">
      <c r="A604" s="221"/>
      <c r="B604" s="1316"/>
      <c r="C604" s="1315"/>
      <c r="D604" s="1315"/>
      <c r="E604" s="1315"/>
      <c r="F604" s="2282" t="s">
        <v>13</v>
      </c>
      <c r="G604" s="2282"/>
      <c r="H604" s="2283"/>
      <c r="I604" s="225" t="s">
        <v>945</v>
      </c>
      <c r="J604" s="1951">
        <f>27700/10000</f>
        <v>2.77</v>
      </c>
      <c r="K604" s="1958">
        <f>13100/10000</f>
        <v>1.31</v>
      </c>
      <c r="L604" s="1953">
        <f>L65</f>
        <v>2.6761999999999996E-05</v>
      </c>
      <c r="M604" s="1959">
        <f>J604+L604</f>
        <v>2.770026762</v>
      </c>
      <c r="N604" s="1955">
        <f>K604+L604</f>
        <v>1.3100267620000001</v>
      </c>
      <c r="O604" s="1591">
        <f aca="true" t="shared" si="62" ref="O604:P606">M604/10000</f>
        <v>0.0002770026762</v>
      </c>
      <c r="P604" s="1592">
        <f t="shared" si="62"/>
        <v>0.0001310026762</v>
      </c>
      <c r="Q604" s="482">
        <f>S604*1.2</f>
        <v>13080</v>
      </c>
      <c r="R604" s="2555">
        <v>23100</v>
      </c>
      <c r="S604" s="2555">
        <v>10900</v>
      </c>
      <c r="T604" s="2568">
        <f aca="true" t="shared" si="63" ref="T604:U606">V604*1.2</f>
        <v>27720</v>
      </c>
      <c r="U604" s="2568">
        <f t="shared" si="63"/>
        <v>13080</v>
      </c>
      <c r="V604" s="2555">
        <v>23100</v>
      </c>
      <c r="W604" s="2555">
        <v>10900</v>
      </c>
      <c r="X604" s="2575"/>
      <c r="Y604" s="2575"/>
      <c r="Z604" s="2575"/>
      <c r="AA604" s="2575"/>
      <c r="AB604" s="2575"/>
    </row>
    <row r="605" spans="1:28" s="165" customFormat="1" ht="19.5" hidden="1">
      <c r="A605" s="230"/>
      <c r="B605" s="1607"/>
      <c r="C605" s="1608"/>
      <c r="D605" s="1608"/>
      <c r="E605" s="1608"/>
      <c r="F605" s="2284" t="s">
        <v>14</v>
      </c>
      <c r="G605" s="2284"/>
      <c r="H605" s="2285"/>
      <c r="I605" s="231" t="s">
        <v>945</v>
      </c>
      <c r="J605" s="1951">
        <f>23100/10000</f>
        <v>2.31</v>
      </c>
      <c r="K605" s="1952">
        <f>10850/10000</f>
        <v>1.085</v>
      </c>
      <c r="L605" s="1953">
        <f>L66</f>
        <v>1.5368999999999998E-05</v>
      </c>
      <c r="M605" s="1961">
        <f>J605+L605</f>
        <v>2.3100153690000003</v>
      </c>
      <c r="N605" s="1955">
        <f>K605+L605</f>
        <v>1.085015369</v>
      </c>
      <c r="O605" s="1591">
        <f t="shared" si="62"/>
        <v>0.00023100153690000004</v>
      </c>
      <c r="P605" s="1592">
        <f t="shared" si="62"/>
        <v>0.0001085015369</v>
      </c>
      <c r="Q605" s="482">
        <f>S605*1.2</f>
        <v>13020</v>
      </c>
      <c r="R605" s="2555">
        <v>23100</v>
      </c>
      <c r="S605" s="2555">
        <v>10850</v>
      </c>
      <c r="T605" s="2568">
        <f t="shared" si="63"/>
        <v>27720</v>
      </c>
      <c r="U605" s="2568">
        <f t="shared" si="63"/>
        <v>13020</v>
      </c>
      <c r="V605" s="2555">
        <v>23100</v>
      </c>
      <c r="W605" s="2555">
        <v>10850</v>
      </c>
      <c r="X605" s="2575"/>
      <c r="Y605" s="2575"/>
      <c r="Z605" s="2575"/>
      <c r="AA605" s="2575"/>
      <c r="AB605" s="2575"/>
    </row>
    <row r="606" spans="1:28" s="165" customFormat="1" ht="19.5">
      <c r="A606" s="514" t="s">
        <v>94</v>
      </c>
      <c r="B606" s="2258" t="s">
        <v>15</v>
      </c>
      <c r="C606" s="2259"/>
      <c r="D606" s="2259"/>
      <c r="E606" s="2259"/>
      <c r="F606" s="2259"/>
      <c r="G606" s="2259"/>
      <c r="H606" s="2260"/>
      <c r="I606" s="225" t="s">
        <v>945</v>
      </c>
      <c r="J606" s="1957">
        <f>17900/10000</f>
        <v>1.79</v>
      </c>
      <c r="K606" s="1958">
        <f>6500/10000</f>
        <v>0.65</v>
      </c>
      <c r="L606" s="1953">
        <f>L67</f>
        <v>0.29</v>
      </c>
      <c r="M606" s="1954">
        <f>J606+L606</f>
        <v>2.08</v>
      </c>
      <c r="N606" s="1955">
        <f>K606+L606</f>
        <v>0.94</v>
      </c>
      <c r="O606" s="1591">
        <f t="shared" si="62"/>
        <v>0.00020800000000000001</v>
      </c>
      <c r="P606" s="1592">
        <f t="shared" si="62"/>
        <v>9.4E-05</v>
      </c>
      <c r="Q606" s="482">
        <f>S606*1.2</f>
        <v>6480</v>
      </c>
      <c r="R606" s="2555">
        <v>14900</v>
      </c>
      <c r="S606" s="2555">
        <v>5400</v>
      </c>
      <c r="T606" s="2568">
        <f t="shared" si="63"/>
        <v>17880</v>
      </c>
      <c r="U606" s="2568">
        <f t="shared" si="63"/>
        <v>6480</v>
      </c>
      <c r="V606" s="2555">
        <v>14900</v>
      </c>
      <c r="W606" s="2555">
        <v>5400</v>
      </c>
      <c r="X606" s="2575"/>
      <c r="Y606" s="2575"/>
      <c r="Z606" s="2575"/>
      <c r="AA606" s="2575"/>
      <c r="AB606" s="2575"/>
    </row>
    <row r="607" spans="1:28" s="165" customFormat="1" ht="12.75" customHeight="1">
      <c r="A607" s="514"/>
      <c r="B607" s="2258"/>
      <c r="C607" s="2259"/>
      <c r="D607" s="2259"/>
      <c r="E607" s="2259"/>
      <c r="F607" s="2259"/>
      <c r="G607" s="2259"/>
      <c r="H607" s="2260"/>
      <c r="I607" s="225"/>
      <c r="J607" s="1957"/>
      <c r="K607" s="1958"/>
      <c r="L607" s="1937"/>
      <c r="M607" s="1954"/>
      <c r="N607" s="1955"/>
      <c r="O607" s="1580"/>
      <c r="P607" s="1593"/>
      <c r="Q607" s="482"/>
      <c r="R607" s="2555"/>
      <c r="S607" s="2555"/>
      <c r="T607" s="2568"/>
      <c r="U607" s="2568"/>
      <c r="V607" s="2555"/>
      <c r="W607" s="2555"/>
      <c r="X607" s="2575"/>
      <c r="Y607" s="2575"/>
      <c r="Z607" s="2575"/>
      <c r="AA607" s="2575"/>
      <c r="AB607" s="2575"/>
    </row>
    <row r="608" spans="1:28" s="165" customFormat="1" ht="19.5">
      <c r="A608" s="221" t="s">
        <v>287</v>
      </c>
      <c r="B608" s="2258" t="s">
        <v>16</v>
      </c>
      <c r="C608" s="2262"/>
      <c r="D608" s="2262"/>
      <c r="E608" s="2262"/>
      <c r="F608" s="2262"/>
      <c r="G608" s="2262"/>
      <c r="H608" s="2263"/>
      <c r="I608" s="716" t="s">
        <v>945</v>
      </c>
      <c r="J608" s="1958">
        <f>16300/10000</f>
        <v>1.63</v>
      </c>
      <c r="K608" s="1962">
        <f>6500/10000</f>
        <v>0.65</v>
      </c>
      <c r="L608" s="1953">
        <f>L69</f>
        <v>0.7519800000000001</v>
      </c>
      <c r="M608" s="1963">
        <f>J608+L608</f>
        <v>2.38198</v>
      </c>
      <c r="N608" s="1954">
        <f>K608+L608</f>
        <v>1.40198</v>
      </c>
      <c r="O608" s="1591">
        <f>M608/10000</f>
        <v>0.000238198</v>
      </c>
      <c r="P608" s="1592">
        <f>N608/10000</f>
        <v>0.000140198</v>
      </c>
      <c r="Q608" s="482">
        <f>S608*1.2</f>
        <v>6480</v>
      </c>
      <c r="R608" s="2555">
        <v>13600</v>
      </c>
      <c r="S608" s="2555">
        <v>5400</v>
      </c>
      <c r="T608" s="2568">
        <f>V608*1.2</f>
        <v>16320</v>
      </c>
      <c r="U608" s="2568">
        <f>W608*1.2</f>
        <v>6480</v>
      </c>
      <c r="V608" s="2555">
        <v>13600</v>
      </c>
      <c r="W608" s="2555">
        <v>5400</v>
      </c>
      <c r="X608" s="2575"/>
      <c r="Y608" s="2575"/>
      <c r="Z608" s="2575"/>
      <c r="AA608" s="2575"/>
      <c r="AB608" s="2575"/>
    </row>
    <row r="609" spans="1:28" s="165" customFormat="1" ht="12.75" customHeight="1">
      <c r="A609" s="221"/>
      <c r="B609" s="2264"/>
      <c r="C609" s="2262"/>
      <c r="D609" s="2262"/>
      <c r="E609" s="2262"/>
      <c r="F609" s="2262"/>
      <c r="G609" s="2262"/>
      <c r="H609" s="2263"/>
      <c r="I609" s="716"/>
      <c r="J609" s="1964"/>
      <c r="K609" s="1965"/>
      <c r="L609" s="1966"/>
      <c r="M609" s="1967"/>
      <c r="N609" s="1954"/>
      <c r="O609" s="1580"/>
      <c r="P609" s="1314"/>
      <c r="Q609" s="150"/>
      <c r="R609" s="2555"/>
      <c r="S609" s="2555"/>
      <c r="T609" s="2565"/>
      <c r="U609" s="2565"/>
      <c r="V609" s="2555"/>
      <c r="W609" s="2555"/>
      <c r="X609" s="2575"/>
      <c r="Y609" s="2575"/>
      <c r="Z609" s="2575"/>
      <c r="AA609" s="2575"/>
      <c r="AB609" s="2575"/>
    </row>
    <row r="610" spans="1:28" s="165" customFormat="1" ht="14.25" customHeight="1">
      <c r="A610" s="235">
        <v>1</v>
      </c>
      <c r="B610" s="2368">
        <v>2</v>
      </c>
      <c r="C610" s="2369"/>
      <c r="D610" s="2369"/>
      <c r="E610" s="2369"/>
      <c r="F610" s="2369"/>
      <c r="G610" s="2369"/>
      <c r="H610" s="2370"/>
      <c r="I610" s="712">
        <v>3</v>
      </c>
      <c r="J610" s="235">
        <v>4</v>
      </c>
      <c r="K610" s="712">
        <v>5</v>
      </c>
      <c r="L610" s="1660">
        <v>6</v>
      </c>
      <c r="M610" s="1662">
        <v>7</v>
      </c>
      <c r="N610" s="1663">
        <v>8</v>
      </c>
      <c r="O610" s="1317">
        <v>9</v>
      </c>
      <c r="P610" s="235">
        <v>10</v>
      </c>
      <c r="Q610" s="164"/>
      <c r="R610" s="2566">
        <v>4</v>
      </c>
      <c r="S610" s="2566">
        <v>5</v>
      </c>
      <c r="T610" s="2570"/>
      <c r="U610" s="2570"/>
      <c r="V610" s="2566">
        <v>4</v>
      </c>
      <c r="W610" s="2566">
        <v>5</v>
      </c>
      <c r="X610" s="2575"/>
      <c r="Y610" s="2575"/>
      <c r="Z610" s="2575"/>
      <c r="AA610" s="2575"/>
      <c r="AB610" s="2575"/>
    </row>
    <row r="611" spans="1:28" s="165" customFormat="1" ht="16.5" customHeight="1">
      <c r="A611" s="221" t="s">
        <v>288</v>
      </c>
      <c r="B611" s="2261" t="s">
        <v>20</v>
      </c>
      <c r="C611" s="2262"/>
      <c r="D611" s="2262"/>
      <c r="E611" s="2262"/>
      <c r="F611" s="2262"/>
      <c r="G611" s="2262"/>
      <c r="H611" s="2263"/>
      <c r="I611" s="716"/>
      <c r="J611" s="121"/>
      <c r="K611" s="119"/>
      <c r="L611" s="1626"/>
      <c r="M611" s="1585"/>
      <c r="N611" s="1661"/>
      <c r="O611" s="1580"/>
      <c r="P611" s="1314"/>
      <c r="Q611" s="150"/>
      <c r="R611" s="2555"/>
      <c r="S611" s="2555"/>
      <c r="T611" s="2565"/>
      <c r="U611" s="2565"/>
      <c r="V611" s="2555"/>
      <c r="W611" s="2555"/>
      <c r="X611" s="2575"/>
      <c r="Y611" s="2575"/>
      <c r="Z611" s="2575"/>
      <c r="AA611" s="2575"/>
      <c r="AB611" s="2575"/>
    </row>
    <row r="612" spans="1:28" s="165" customFormat="1" ht="16.5" customHeight="1">
      <c r="A612" s="221"/>
      <c r="B612" s="2264"/>
      <c r="C612" s="2262"/>
      <c r="D612" s="2262"/>
      <c r="E612" s="2262"/>
      <c r="F612" s="2262"/>
      <c r="G612" s="2262"/>
      <c r="H612" s="2263"/>
      <c r="I612" s="716" t="s">
        <v>945</v>
      </c>
      <c r="J612" s="1951">
        <f>27700/10000</f>
        <v>2.77</v>
      </c>
      <c r="K612" s="1990">
        <f>17900/10000</f>
        <v>1.79</v>
      </c>
      <c r="L612" s="1953">
        <f>L73</f>
        <v>0.40246</v>
      </c>
      <c r="M612" s="1963">
        <f>J612+L612</f>
        <v>3.17246</v>
      </c>
      <c r="N612" s="1959">
        <f>K612+L612</f>
        <v>2.19246</v>
      </c>
      <c r="O612" s="1591">
        <f>M612/10000</f>
        <v>0.00031724600000000003</v>
      </c>
      <c r="P612" s="1592">
        <f>N612/10000</f>
        <v>0.000219246</v>
      </c>
      <c r="Q612" s="482">
        <f>S612*1.2</f>
        <v>17880</v>
      </c>
      <c r="R612" s="2555">
        <v>23100</v>
      </c>
      <c r="S612" s="2555">
        <v>14900</v>
      </c>
      <c r="T612" s="2568">
        <f>V612*1.2</f>
        <v>27720</v>
      </c>
      <c r="U612" s="2568">
        <f>W612*1.2</f>
        <v>17880</v>
      </c>
      <c r="V612" s="2555">
        <v>23100</v>
      </c>
      <c r="W612" s="2555">
        <v>14900</v>
      </c>
      <c r="X612" s="2575"/>
      <c r="Y612" s="2575"/>
      <c r="Z612" s="2575"/>
      <c r="AA612" s="2575"/>
      <c r="AB612" s="2575"/>
    </row>
    <row r="613" spans="1:28" s="165" customFormat="1" ht="16.5" customHeight="1">
      <c r="A613" s="236" t="s">
        <v>289</v>
      </c>
      <c r="B613" s="1609" t="s">
        <v>21</v>
      </c>
      <c r="C613" s="310"/>
      <c r="D613" s="310"/>
      <c r="E613" s="310"/>
      <c r="F613" s="310"/>
      <c r="G613" s="310"/>
      <c r="H613" s="318"/>
      <c r="I613" s="716" t="s">
        <v>945</v>
      </c>
      <c r="J613" s="1957">
        <f>24500/10000</f>
        <v>2.45</v>
      </c>
      <c r="K613" s="1952">
        <f>14600/10000</f>
        <v>1.46</v>
      </c>
      <c r="L613" s="1953">
        <f>L74</f>
        <v>2.9009900000000006</v>
      </c>
      <c r="M613" s="1963">
        <f>J613+L613</f>
        <v>5.350990000000001</v>
      </c>
      <c r="N613" s="1954">
        <f>K613+L613</f>
        <v>4.360990000000001</v>
      </c>
      <c r="O613" s="1591">
        <f>M613/10000</f>
        <v>0.0005350990000000001</v>
      </c>
      <c r="P613" s="1592">
        <f>N613/10000</f>
        <v>0.0004360990000000001</v>
      </c>
      <c r="Q613" s="482">
        <f>S613*1.2</f>
        <v>14640</v>
      </c>
      <c r="R613" s="2555">
        <v>20400</v>
      </c>
      <c r="S613" s="2555">
        <v>12200</v>
      </c>
      <c r="T613" s="2568">
        <f>V613*1.2</f>
        <v>24480</v>
      </c>
      <c r="U613" s="2568">
        <f>W613*1.2</f>
        <v>14640</v>
      </c>
      <c r="V613" s="2555">
        <v>20400</v>
      </c>
      <c r="W613" s="2555">
        <v>12200</v>
      </c>
      <c r="X613" s="2575"/>
      <c r="Y613" s="2575"/>
      <c r="Z613" s="2575"/>
      <c r="AA613" s="2575"/>
      <c r="AB613" s="2575"/>
    </row>
    <row r="614" spans="1:28" s="165" customFormat="1" ht="16.5" customHeight="1">
      <c r="A614" s="236" t="s">
        <v>290</v>
      </c>
      <c r="B614" s="1609" t="s">
        <v>22</v>
      </c>
      <c r="C614" s="310"/>
      <c r="D614" s="310"/>
      <c r="E614" s="310"/>
      <c r="F614" s="310"/>
      <c r="G614" s="310"/>
      <c r="H614" s="318"/>
      <c r="I614" s="716"/>
      <c r="J614" s="1986"/>
      <c r="K614" s="1984"/>
      <c r="L614" s="1953"/>
      <c r="M614" s="1967"/>
      <c r="N614" s="1954"/>
      <c r="O614" s="1580"/>
      <c r="P614" s="1314"/>
      <c r="Q614" s="150"/>
      <c r="R614" s="2555"/>
      <c r="S614" s="2555"/>
      <c r="T614" s="2565"/>
      <c r="U614" s="2565"/>
      <c r="V614" s="2555"/>
      <c r="W614" s="2555"/>
      <c r="X614" s="2575"/>
      <c r="Y614" s="2575"/>
      <c r="Z614" s="2575"/>
      <c r="AA614" s="2575"/>
      <c r="AB614" s="2575"/>
    </row>
    <row r="615" spans="1:28" s="165" customFormat="1" ht="16.5" customHeight="1">
      <c r="A615" s="236"/>
      <c r="B615" s="1609" t="s">
        <v>23</v>
      </c>
      <c r="C615" s="310"/>
      <c r="D615" s="310"/>
      <c r="E615" s="310"/>
      <c r="F615" s="310"/>
      <c r="G615" s="310"/>
      <c r="H615" s="318"/>
      <c r="I615" s="716" t="s">
        <v>945</v>
      </c>
      <c r="J615" s="1957">
        <f>21200/10000</f>
        <v>2.12</v>
      </c>
      <c r="K615" s="1952">
        <f>11400/10000</f>
        <v>1.14</v>
      </c>
      <c r="L615" s="1953">
        <f>L76</f>
        <v>1.35783</v>
      </c>
      <c r="M615" s="1963">
        <f>J615+L615</f>
        <v>3.47783</v>
      </c>
      <c r="N615" s="1954">
        <f>K615+L615</f>
        <v>2.49783</v>
      </c>
      <c r="O615" s="1591">
        <f>M615/10000</f>
        <v>0.000347783</v>
      </c>
      <c r="P615" s="1592">
        <f>N615/10000</f>
        <v>0.000249783</v>
      </c>
      <c r="Q615" s="482">
        <f>S615*1.2</f>
        <v>11400</v>
      </c>
      <c r="R615" s="2555">
        <v>17700</v>
      </c>
      <c r="S615" s="2555">
        <v>9500</v>
      </c>
      <c r="T615" s="2568">
        <f>V615*1.2</f>
        <v>21240</v>
      </c>
      <c r="U615" s="2568">
        <f>W615*1.2</f>
        <v>11400</v>
      </c>
      <c r="V615" s="2555">
        <v>17700</v>
      </c>
      <c r="W615" s="2555">
        <v>9500</v>
      </c>
      <c r="X615" s="2575"/>
      <c r="Y615" s="2575"/>
      <c r="Z615" s="2575"/>
      <c r="AA615" s="2575"/>
      <c r="AB615" s="2575"/>
    </row>
    <row r="616" spans="1:28" s="165" customFormat="1" ht="16.5" customHeight="1">
      <c r="A616" s="236" t="s">
        <v>291</v>
      </c>
      <c r="B616" s="2258" t="s">
        <v>24</v>
      </c>
      <c r="C616" s="2262"/>
      <c r="D616" s="2262"/>
      <c r="E616" s="2262"/>
      <c r="F616" s="2262"/>
      <c r="G616" s="2262"/>
      <c r="H616" s="2263"/>
      <c r="I616" s="253"/>
      <c r="J616" s="1987"/>
      <c r="K616" s="1984"/>
      <c r="L616" s="1953"/>
      <c r="M616" s="1967"/>
      <c r="N616" s="1969"/>
      <c r="O616" s="1580"/>
      <c r="P616" s="1314"/>
      <c r="Q616" s="150"/>
      <c r="R616" s="2555"/>
      <c r="S616" s="2555"/>
      <c r="T616" s="2565"/>
      <c r="U616" s="2565"/>
      <c r="V616" s="2555"/>
      <c r="W616" s="2555"/>
      <c r="X616" s="2575"/>
      <c r="Y616" s="2575"/>
      <c r="Z616" s="2575"/>
      <c r="AA616" s="2575"/>
      <c r="AB616" s="2575"/>
    </row>
    <row r="617" spans="1:28" s="165" customFormat="1" ht="16.5" customHeight="1">
      <c r="A617" s="236"/>
      <c r="B617" s="2264"/>
      <c r="C617" s="2262"/>
      <c r="D617" s="2262"/>
      <c r="E617" s="2262"/>
      <c r="F617" s="2262"/>
      <c r="G617" s="2262"/>
      <c r="H617" s="2263"/>
      <c r="I617" s="716" t="s">
        <v>945</v>
      </c>
      <c r="J617" s="1991">
        <f>26000/10000</f>
        <v>2.6</v>
      </c>
      <c r="K617" s="1958">
        <f>13100/10000</f>
        <v>1.31</v>
      </c>
      <c r="L617" s="1953">
        <f>L78</f>
        <v>0.28492</v>
      </c>
      <c r="M617" s="1967">
        <f>J617+L617</f>
        <v>2.88492</v>
      </c>
      <c r="N617" s="1954">
        <f>K617+L617</f>
        <v>1.5949200000000001</v>
      </c>
      <c r="O617" s="1591">
        <f>M617/10000</f>
        <v>0.000288492</v>
      </c>
      <c r="P617" s="1592">
        <f>N617/10000</f>
        <v>0.000159492</v>
      </c>
      <c r="Q617" s="482">
        <f>S617*1.2</f>
        <v>13080</v>
      </c>
      <c r="R617" s="2555">
        <v>21700</v>
      </c>
      <c r="S617" s="2555">
        <v>10900</v>
      </c>
      <c r="T617" s="2568">
        <f>V617*1.2</f>
        <v>26040</v>
      </c>
      <c r="U617" s="2568">
        <f>W617*1.2</f>
        <v>13080</v>
      </c>
      <c r="V617" s="2555">
        <v>21700</v>
      </c>
      <c r="W617" s="2555">
        <v>10900</v>
      </c>
      <c r="X617" s="2575"/>
      <c r="Y617" s="2575"/>
      <c r="Z617" s="2575"/>
      <c r="AA617" s="2575"/>
      <c r="AB617" s="2575"/>
    </row>
    <row r="618" spans="1:28" s="165" customFormat="1" ht="16.5" customHeight="1">
      <c r="A618" s="236" t="s">
        <v>292</v>
      </c>
      <c r="B618" s="2258" t="s">
        <v>25</v>
      </c>
      <c r="C618" s="2262"/>
      <c r="D618" s="2262"/>
      <c r="E618" s="2262"/>
      <c r="F618" s="2262"/>
      <c r="G618" s="2262"/>
      <c r="H618" s="2263"/>
      <c r="I618" s="253"/>
      <c r="J618" s="1988"/>
      <c r="K618" s="1983"/>
      <c r="L618" s="1953"/>
      <c r="M618" s="1967"/>
      <c r="N618" s="1969"/>
      <c r="O618" s="1580"/>
      <c r="P618" s="1314"/>
      <c r="Q618" s="150"/>
      <c r="R618" s="2555"/>
      <c r="S618" s="2555"/>
      <c r="T618" s="2565"/>
      <c r="U618" s="2565"/>
      <c r="V618" s="2555"/>
      <c r="W618" s="2555"/>
      <c r="X618" s="2575"/>
      <c r="Y618" s="2575"/>
      <c r="Z618" s="2575"/>
      <c r="AA618" s="2575"/>
      <c r="AB618" s="2575"/>
    </row>
    <row r="619" spans="1:28" s="165" customFormat="1" ht="16.5" customHeight="1">
      <c r="A619" s="236"/>
      <c r="B619" s="2264"/>
      <c r="C619" s="2262"/>
      <c r="D619" s="2262"/>
      <c r="E619" s="2262"/>
      <c r="F619" s="2262"/>
      <c r="G619" s="2262"/>
      <c r="H619" s="2263"/>
      <c r="I619" s="716" t="s">
        <v>945</v>
      </c>
      <c r="J619" s="1991">
        <f>26000/10000</f>
        <v>2.6</v>
      </c>
      <c r="K619" s="1958">
        <f>13100/10000</f>
        <v>1.31</v>
      </c>
      <c r="L619" s="1953">
        <f>L80</f>
        <v>0.29233000000000003</v>
      </c>
      <c r="M619" s="1967">
        <f>J619+L619</f>
        <v>2.8923300000000003</v>
      </c>
      <c r="N619" s="1954">
        <f>K619+L619</f>
        <v>1.60233</v>
      </c>
      <c r="O619" s="1591">
        <f>M619/10000</f>
        <v>0.000289233</v>
      </c>
      <c r="P619" s="1592">
        <f>N619/10000</f>
        <v>0.000160233</v>
      </c>
      <c r="Q619" s="482">
        <f>S619*1.2</f>
        <v>13080</v>
      </c>
      <c r="R619" s="2555">
        <v>21700</v>
      </c>
      <c r="S619" s="2555">
        <v>10900</v>
      </c>
      <c r="T619" s="2568">
        <f>V619*1.2</f>
        <v>26040</v>
      </c>
      <c r="U619" s="2568">
        <f>W619*1.2</f>
        <v>13080</v>
      </c>
      <c r="V619" s="2555">
        <v>21700</v>
      </c>
      <c r="W619" s="2555">
        <v>10900</v>
      </c>
      <c r="X619" s="2575"/>
      <c r="Y619" s="2575"/>
      <c r="Z619" s="2575"/>
      <c r="AA619" s="2575"/>
      <c r="AB619" s="2575"/>
    </row>
    <row r="620" spans="1:28" s="165" customFormat="1" ht="16.5" customHeight="1">
      <c r="A620" s="236" t="s">
        <v>293</v>
      </c>
      <c r="B620" s="2261" t="s">
        <v>26</v>
      </c>
      <c r="C620" s="2262"/>
      <c r="D620" s="2262"/>
      <c r="E620" s="2262"/>
      <c r="F620" s="2262"/>
      <c r="G620" s="2262"/>
      <c r="H620" s="2263"/>
      <c r="I620" s="716"/>
      <c r="J620" s="1987"/>
      <c r="K620" s="1983"/>
      <c r="L620" s="1953"/>
      <c r="M620" s="1967"/>
      <c r="N620" s="1954"/>
      <c r="O620" s="1580"/>
      <c r="P620" s="1314"/>
      <c r="Q620" s="150"/>
      <c r="R620" s="2555"/>
      <c r="S620" s="2555"/>
      <c r="T620" s="2565"/>
      <c r="U620" s="2565"/>
      <c r="V620" s="2555"/>
      <c r="W620" s="2555"/>
      <c r="X620" s="2575"/>
      <c r="Y620" s="2575"/>
      <c r="Z620" s="2575"/>
      <c r="AA620" s="2575"/>
      <c r="AB620" s="2575"/>
    </row>
    <row r="621" spans="1:28" s="165" customFormat="1" ht="16.5" customHeight="1">
      <c r="A621" s="236"/>
      <c r="B621" s="2264"/>
      <c r="C621" s="2262"/>
      <c r="D621" s="2262"/>
      <c r="E621" s="2262"/>
      <c r="F621" s="2262"/>
      <c r="G621" s="2262"/>
      <c r="H621" s="2263"/>
      <c r="I621" s="716" t="s">
        <v>945</v>
      </c>
      <c r="J621" s="1991">
        <f>39100/10000</f>
        <v>3.91</v>
      </c>
      <c r="K621" s="1958">
        <f>16300/10000</f>
        <v>1.63</v>
      </c>
      <c r="L621" s="1953">
        <f>L82</f>
        <v>0.18552999999999997</v>
      </c>
      <c r="M621" s="1963">
        <f>J621+L621</f>
        <v>4.09553</v>
      </c>
      <c r="N621" s="1954">
        <f>K621+L621</f>
        <v>1.8155299999999999</v>
      </c>
      <c r="O621" s="1591">
        <f aca="true" t="shared" si="64" ref="O621:P623">M621/10000</f>
        <v>0.000409553</v>
      </c>
      <c r="P621" s="1592">
        <f t="shared" si="64"/>
        <v>0.000181553</v>
      </c>
      <c r="Q621" s="482">
        <f>S621*1.2</f>
        <v>16320</v>
      </c>
      <c r="R621" s="2555">
        <v>32600</v>
      </c>
      <c r="S621" s="2555">
        <v>13600</v>
      </c>
      <c r="T621" s="2568">
        <f aca="true" t="shared" si="65" ref="T621:U623">V621*1.2</f>
        <v>39120</v>
      </c>
      <c r="U621" s="2568">
        <f t="shared" si="65"/>
        <v>16320</v>
      </c>
      <c r="V621" s="2555">
        <v>32600</v>
      </c>
      <c r="W621" s="2555">
        <v>13600</v>
      </c>
      <c r="X621" s="2575"/>
      <c r="Y621" s="2575"/>
      <c r="Z621" s="2575"/>
      <c r="AA621" s="2575"/>
      <c r="AB621" s="2575"/>
    </row>
    <row r="622" spans="1:28" s="165" customFormat="1" ht="16.5" customHeight="1">
      <c r="A622" s="236" t="s">
        <v>294</v>
      </c>
      <c r="B622" s="1610" t="s">
        <v>45</v>
      </c>
      <c r="C622" s="1611"/>
      <c r="D622" s="1611"/>
      <c r="E622" s="1611"/>
      <c r="F622" s="1611"/>
      <c r="G622" s="1611"/>
      <c r="H622" s="1612"/>
      <c r="I622" s="716" t="s">
        <v>945</v>
      </c>
      <c r="J622" s="1957">
        <f>24500/10000</f>
        <v>2.45</v>
      </c>
      <c r="K622" s="1958">
        <f>16300/10000</f>
        <v>1.63</v>
      </c>
      <c r="L622" s="1953">
        <f>L83</f>
        <v>0.8551300000000002</v>
      </c>
      <c r="M622" s="1963">
        <f>J622+L622</f>
        <v>3.30513</v>
      </c>
      <c r="N622" s="1954">
        <f>K622+L622</f>
        <v>2.48513</v>
      </c>
      <c r="O622" s="1591">
        <f t="shared" si="64"/>
        <v>0.000330513</v>
      </c>
      <c r="P622" s="1592">
        <f t="shared" si="64"/>
        <v>0.000248513</v>
      </c>
      <c r="Q622" s="482">
        <f>S622*1.2</f>
        <v>16320</v>
      </c>
      <c r="R622" s="2555">
        <v>20400</v>
      </c>
      <c r="S622" s="2555">
        <v>13600</v>
      </c>
      <c r="T622" s="2568">
        <f t="shared" si="65"/>
        <v>24480</v>
      </c>
      <c r="U622" s="2568">
        <f t="shared" si="65"/>
        <v>16320</v>
      </c>
      <c r="V622" s="2555">
        <v>20400</v>
      </c>
      <c r="W622" s="2555">
        <v>13600</v>
      </c>
      <c r="X622" s="2575"/>
      <c r="Y622" s="2575"/>
      <c r="Z622" s="2575"/>
      <c r="AA622" s="2575"/>
      <c r="AB622" s="2575"/>
    </row>
    <row r="623" spans="1:28" s="165" customFormat="1" ht="16.5" customHeight="1">
      <c r="A623" s="236" t="s">
        <v>295</v>
      </c>
      <c r="B623" s="2258" t="s">
        <v>46</v>
      </c>
      <c r="C623" s="2262"/>
      <c r="D623" s="2262"/>
      <c r="E623" s="2262"/>
      <c r="F623" s="2262"/>
      <c r="G623" s="2262"/>
      <c r="H623" s="2263"/>
      <c r="I623" s="716" t="s">
        <v>945</v>
      </c>
      <c r="J623" s="1957">
        <f>24500/10000</f>
        <v>2.45</v>
      </c>
      <c r="K623" s="1958">
        <f>16300/10000</f>
        <v>1.63</v>
      </c>
      <c r="L623" s="1953">
        <f>L84</f>
        <v>0.30573</v>
      </c>
      <c r="M623" s="1967">
        <f>J623+L623</f>
        <v>2.7557300000000002</v>
      </c>
      <c r="N623" s="1954">
        <f>K623+L623</f>
        <v>1.93573</v>
      </c>
      <c r="O623" s="1591">
        <f t="shared" si="64"/>
        <v>0.00027557300000000004</v>
      </c>
      <c r="P623" s="1592">
        <f t="shared" si="64"/>
        <v>0.000193573</v>
      </c>
      <c r="Q623" s="482">
        <f>S623*1.2</f>
        <v>16320</v>
      </c>
      <c r="R623" s="2555">
        <v>20400</v>
      </c>
      <c r="S623" s="2555">
        <v>13600</v>
      </c>
      <c r="T623" s="2568">
        <f t="shared" si="65"/>
        <v>24480</v>
      </c>
      <c r="U623" s="2568">
        <f t="shared" si="65"/>
        <v>16320</v>
      </c>
      <c r="V623" s="2555">
        <v>20400</v>
      </c>
      <c r="W623" s="2555">
        <v>13600</v>
      </c>
      <c r="X623" s="2575"/>
      <c r="Y623" s="2575"/>
      <c r="Z623" s="2575"/>
      <c r="AA623" s="2575"/>
      <c r="AB623" s="2575"/>
    </row>
    <row r="624" spans="1:28" s="165" customFormat="1" ht="16.5" customHeight="1">
      <c r="A624" s="236"/>
      <c r="B624" s="2264"/>
      <c r="C624" s="2262"/>
      <c r="D624" s="2262"/>
      <c r="E624" s="2262"/>
      <c r="F624" s="2262"/>
      <c r="G624" s="2262"/>
      <c r="H624" s="2263"/>
      <c r="I624" s="716"/>
      <c r="J624" s="1986"/>
      <c r="K624" s="1983"/>
      <c r="L624" s="1953"/>
      <c r="M624" s="1967"/>
      <c r="N624" s="1954"/>
      <c r="O624" s="1580"/>
      <c r="P624" s="1314"/>
      <c r="Q624" s="150"/>
      <c r="R624" s="2555"/>
      <c r="S624" s="2555"/>
      <c r="T624" s="2565"/>
      <c r="U624" s="2565"/>
      <c r="V624" s="2555"/>
      <c r="W624" s="2555"/>
      <c r="X624" s="2575"/>
      <c r="Y624" s="2575"/>
      <c r="Z624" s="2575"/>
      <c r="AA624" s="2575"/>
      <c r="AB624" s="2575"/>
    </row>
    <row r="625" spans="1:28" s="165" customFormat="1" ht="16.5" customHeight="1">
      <c r="A625" s="236" t="s">
        <v>296</v>
      </c>
      <c r="B625" s="1609" t="s">
        <v>47</v>
      </c>
      <c r="C625" s="1613"/>
      <c r="D625" s="1614"/>
      <c r="E625" s="1614"/>
      <c r="F625" s="1615"/>
      <c r="G625" s="1615"/>
      <c r="H625" s="318"/>
      <c r="I625" s="716"/>
      <c r="J625" s="1986"/>
      <c r="K625" s="1983"/>
      <c r="L625" s="1953"/>
      <c r="M625" s="1967"/>
      <c r="N625" s="1954"/>
      <c r="O625" s="1580"/>
      <c r="P625" s="1314"/>
      <c r="Q625" s="150"/>
      <c r="R625" s="2555"/>
      <c r="S625" s="2555"/>
      <c r="T625" s="2565"/>
      <c r="U625" s="2565"/>
      <c r="V625" s="2555"/>
      <c r="W625" s="2555"/>
      <c r="X625" s="2575"/>
      <c r="Y625" s="2575"/>
      <c r="Z625" s="2575"/>
      <c r="AA625" s="2575"/>
      <c r="AB625" s="2575"/>
    </row>
    <row r="626" spans="1:28" s="165" customFormat="1" ht="16.5" customHeight="1">
      <c r="A626" s="236"/>
      <c r="B626" s="1616" t="s">
        <v>622</v>
      </c>
      <c r="C626" s="1613" t="s">
        <v>48</v>
      </c>
      <c r="D626" s="1614"/>
      <c r="E626" s="1614"/>
      <c r="F626" s="1615"/>
      <c r="G626" s="1615"/>
      <c r="H626" s="318"/>
      <c r="I626" s="716" t="s">
        <v>945</v>
      </c>
      <c r="J626" s="1957">
        <f>24500/10000</f>
        <v>2.45</v>
      </c>
      <c r="K626" s="1958">
        <f>13100/10000</f>
        <v>1.31</v>
      </c>
      <c r="L626" s="1953">
        <f>L87</f>
        <v>0.41523</v>
      </c>
      <c r="M626" s="1963">
        <f>J626+L626</f>
        <v>2.8652300000000004</v>
      </c>
      <c r="N626" s="1954">
        <f>K626+L626</f>
        <v>1.72523</v>
      </c>
      <c r="O626" s="1591">
        <f>M626/10000</f>
        <v>0.00028652300000000006</v>
      </c>
      <c r="P626" s="1592">
        <f>N626/10000</f>
        <v>0.000172523</v>
      </c>
      <c r="Q626" s="482">
        <f>S626*1.2</f>
        <v>13080</v>
      </c>
      <c r="R626" s="2555">
        <v>20400</v>
      </c>
      <c r="S626" s="2555">
        <v>10900</v>
      </c>
      <c r="T626" s="2568">
        <f>V626*1.2</f>
        <v>24480</v>
      </c>
      <c r="U626" s="2568">
        <f>W626*1.2</f>
        <v>13080</v>
      </c>
      <c r="V626" s="2555">
        <v>20400</v>
      </c>
      <c r="W626" s="2555">
        <v>10900</v>
      </c>
      <c r="X626" s="2575"/>
      <c r="Y626" s="2575"/>
      <c r="Z626" s="2575"/>
      <c r="AA626" s="2575"/>
      <c r="AB626" s="2575"/>
    </row>
    <row r="627" spans="1:28" s="165" customFormat="1" ht="16.5" customHeight="1">
      <c r="A627" s="236" t="s">
        <v>297</v>
      </c>
      <c r="B627" s="2258" t="s">
        <v>49</v>
      </c>
      <c r="C627" s="2262"/>
      <c r="D627" s="2262"/>
      <c r="E627" s="2262"/>
      <c r="F627" s="2262"/>
      <c r="G627" s="2262"/>
      <c r="H627" s="2263"/>
      <c r="I627" s="253"/>
      <c r="J627" s="1986"/>
      <c r="K627" s="1984"/>
      <c r="L627" s="1953"/>
      <c r="M627" s="1967"/>
      <c r="N627" s="1969"/>
      <c r="O627" s="1580"/>
      <c r="P627" s="1314"/>
      <c r="Q627" s="150"/>
      <c r="R627" s="2555"/>
      <c r="S627" s="2555"/>
      <c r="T627" s="2565"/>
      <c r="U627" s="2565"/>
      <c r="V627" s="2555"/>
      <c r="W627" s="2555"/>
      <c r="X627" s="2575"/>
      <c r="Y627" s="2575"/>
      <c r="Z627" s="2575"/>
      <c r="AA627" s="2575"/>
      <c r="AB627" s="2575"/>
    </row>
    <row r="628" spans="1:28" s="165" customFormat="1" ht="16.5" customHeight="1">
      <c r="A628" s="236"/>
      <c r="B628" s="2264"/>
      <c r="C628" s="2262"/>
      <c r="D628" s="2262"/>
      <c r="E628" s="2262"/>
      <c r="F628" s="2262"/>
      <c r="G628" s="2262"/>
      <c r="H628" s="2263"/>
      <c r="I628" s="716" t="s">
        <v>945</v>
      </c>
      <c r="J628" s="1992">
        <f>74900/10000</f>
        <v>7.49</v>
      </c>
      <c r="K628" s="1990">
        <f>29300/10000</f>
        <v>2.93</v>
      </c>
      <c r="L628" s="1953">
        <f>L89</f>
        <v>5.43073</v>
      </c>
      <c r="M628" s="1967">
        <f>J628+L628</f>
        <v>12.920729999999999</v>
      </c>
      <c r="N628" s="1954">
        <f>K628+L628</f>
        <v>8.36073</v>
      </c>
      <c r="O628" s="1591">
        <f>M628/10000</f>
        <v>0.001292073</v>
      </c>
      <c r="P628" s="1592">
        <f>N628/10000</f>
        <v>0.000836073</v>
      </c>
      <c r="Q628" s="482">
        <f>S628*1.2</f>
        <v>29280</v>
      </c>
      <c r="R628" s="2555">
        <v>62400</v>
      </c>
      <c r="S628" s="2555">
        <v>24400</v>
      </c>
      <c r="T628" s="2568">
        <f>V628*1.2</f>
        <v>74880</v>
      </c>
      <c r="U628" s="2568">
        <f>W628*1.2</f>
        <v>29280</v>
      </c>
      <c r="V628" s="2555">
        <v>62400</v>
      </c>
      <c r="W628" s="2555">
        <v>24400</v>
      </c>
      <c r="X628" s="2575"/>
      <c r="Y628" s="2575"/>
      <c r="Z628" s="2575"/>
      <c r="AA628" s="2575"/>
      <c r="AB628" s="2575"/>
    </row>
    <row r="629" spans="1:28" s="165" customFormat="1" ht="16.5" customHeight="1">
      <c r="A629" s="214"/>
      <c r="B629" s="2273" t="s">
        <v>56</v>
      </c>
      <c r="C629" s="2262"/>
      <c r="D629" s="2262"/>
      <c r="E629" s="2262"/>
      <c r="F629" s="2262"/>
      <c r="G629" s="2262"/>
      <c r="H629" s="2263"/>
      <c r="I629" s="716"/>
      <c r="J629" s="1988"/>
      <c r="K629" s="1985"/>
      <c r="L629" s="1953"/>
      <c r="M629" s="1967"/>
      <c r="N629" s="1954"/>
      <c r="O629" s="1580"/>
      <c r="P629" s="1314"/>
      <c r="Q629" s="150"/>
      <c r="R629" s="2567"/>
      <c r="S629" s="2555"/>
      <c r="T629" s="2565"/>
      <c r="U629" s="2565"/>
      <c r="V629" s="2567"/>
      <c r="W629" s="2555"/>
      <c r="X629" s="2575"/>
      <c r="Y629" s="2575"/>
      <c r="Z629" s="2575"/>
      <c r="AA629" s="2575"/>
      <c r="AB629" s="2575"/>
    </row>
    <row r="630" spans="1:28" s="165" customFormat="1" ht="16.5" customHeight="1">
      <c r="A630" s="236" t="s">
        <v>298</v>
      </c>
      <c r="B630" s="2261" t="s">
        <v>57</v>
      </c>
      <c r="C630" s="2262"/>
      <c r="D630" s="2262"/>
      <c r="E630" s="2262"/>
      <c r="F630" s="2262"/>
      <c r="G630" s="2262"/>
      <c r="H630" s="2263"/>
      <c r="I630" s="716" t="s">
        <v>945</v>
      </c>
      <c r="J630" s="1952">
        <f>14600/10000</f>
        <v>1.46</v>
      </c>
      <c r="K630" s="1952">
        <f>11400/10000</f>
        <v>1.14</v>
      </c>
      <c r="L630" s="1953">
        <f>L91</f>
        <v>1.4803000000000002</v>
      </c>
      <c r="M630" s="1963">
        <f>J630+L630</f>
        <v>2.9403</v>
      </c>
      <c r="N630" s="1954">
        <f>K630+L630</f>
        <v>2.6203000000000003</v>
      </c>
      <c r="O630" s="1591">
        <f>M630/10000</f>
        <v>0.00029403000000000003</v>
      </c>
      <c r="P630" s="1592">
        <f>N630/10000</f>
        <v>0.00026203</v>
      </c>
      <c r="Q630" s="482">
        <f>S630*1.2</f>
        <v>11400</v>
      </c>
      <c r="R630" s="2567">
        <v>12200</v>
      </c>
      <c r="S630" s="2555">
        <v>9500</v>
      </c>
      <c r="T630" s="2568">
        <f>V630*1.2</f>
        <v>14640</v>
      </c>
      <c r="U630" s="2568">
        <f>W630*1.2</f>
        <v>11400</v>
      </c>
      <c r="V630" s="2567">
        <v>12200</v>
      </c>
      <c r="W630" s="2555">
        <v>9500</v>
      </c>
      <c r="X630" s="2575"/>
      <c r="Y630" s="2575"/>
      <c r="Z630" s="2575"/>
      <c r="AA630" s="2575"/>
      <c r="AB630" s="2575"/>
    </row>
    <row r="631" spans="1:28" s="165" customFormat="1" ht="16.5" customHeight="1">
      <c r="A631" s="236"/>
      <c r="B631" s="2264"/>
      <c r="C631" s="2262"/>
      <c r="D631" s="2262"/>
      <c r="E631" s="2262"/>
      <c r="F631" s="2262"/>
      <c r="G631" s="2262"/>
      <c r="H631" s="2263"/>
      <c r="I631" s="716"/>
      <c r="J631" s="1987"/>
      <c r="K631" s="1984"/>
      <c r="L631" s="1953"/>
      <c r="M631" s="1967"/>
      <c r="N631" s="1954"/>
      <c r="O631" s="1580"/>
      <c r="P631" s="1314"/>
      <c r="Q631" s="150"/>
      <c r="R631" s="2567"/>
      <c r="S631" s="2555"/>
      <c r="T631" s="2565"/>
      <c r="U631" s="2565"/>
      <c r="V631" s="2567"/>
      <c r="W631" s="2555"/>
      <c r="X631" s="2575"/>
      <c r="Y631" s="2575"/>
      <c r="Z631" s="2575"/>
      <c r="AA631" s="2575"/>
      <c r="AB631" s="2575"/>
    </row>
    <row r="632" spans="1:28" s="165" customFormat="1" ht="16.5" customHeight="1">
      <c r="A632" s="238" t="s">
        <v>299</v>
      </c>
      <c r="B632" s="2258" t="s">
        <v>50</v>
      </c>
      <c r="C632" s="2259"/>
      <c r="D632" s="2259"/>
      <c r="E632" s="2259"/>
      <c r="F632" s="2259"/>
      <c r="G632" s="2259"/>
      <c r="H632" s="1666"/>
      <c r="I632" s="716"/>
      <c r="J632" s="1987"/>
      <c r="K632" s="1984"/>
      <c r="L632" s="1953"/>
      <c r="M632" s="1967"/>
      <c r="N632" s="1954"/>
      <c r="O632" s="1580"/>
      <c r="P632" s="1314"/>
      <c r="Q632" s="150"/>
      <c r="R632" s="2567"/>
      <c r="S632" s="2555"/>
      <c r="T632" s="2565"/>
      <c r="U632" s="2565"/>
      <c r="V632" s="2567"/>
      <c r="W632" s="2555"/>
      <c r="X632" s="2575"/>
      <c r="Y632" s="2575"/>
      <c r="Z632" s="2575"/>
      <c r="AA632" s="2575"/>
      <c r="AB632" s="2575"/>
    </row>
    <row r="633" spans="1:28" s="165" customFormat="1" ht="16.5" customHeight="1">
      <c r="A633" s="238"/>
      <c r="B633" s="2258"/>
      <c r="C633" s="2259"/>
      <c r="D633" s="2259"/>
      <c r="E633" s="2259"/>
      <c r="F633" s="2259"/>
      <c r="G633" s="2259"/>
      <c r="H633" s="1617" t="s">
        <v>51</v>
      </c>
      <c r="I633" s="716" t="s">
        <v>945</v>
      </c>
      <c r="J633" s="1991">
        <f>31200/10000</f>
        <v>3.12</v>
      </c>
      <c r="K633" s="1984" t="s">
        <v>622</v>
      </c>
      <c r="L633" s="1953">
        <f>L94</f>
        <v>3.272</v>
      </c>
      <c r="M633" s="1967">
        <f>J633+L633</f>
        <v>6.3919999999999995</v>
      </c>
      <c r="N633" s="1954" t="s">
        <v>622</v>
      </c>
      <c r="O633" s="1591">
        <f>M633/10000</f>
        <v>0.0006391999999999999</v>
      </c>
      <c r="P633" s="1592" t="s">
        <v>622</v>
      </c>
      <c r="Q633" s="482"/>
      <c r="R633" s="2567">
        <v>26000</v>
      </c>
      <c r="S633" s="2555" t="s">
        <v>622</v>
      </c>
      <c r="T633" s="2568">
        <f>V633*1.2</f>
        <v>31200</v>
      </c>
      <c r="U633" s="2568"/>
      <c r="V633" s="2567">
        <v>26000</v>
      </c>
      <c r="W633" s="2555" t="s">
        <v>622</v>
      </c>
      <c r="X633" s="2575"/>
      <c r="Y633" s="2575"/>
      <c r="Z633" s="2575"/>
      <c r="AA633" s="2575"/>
      <c r="AB633" s="2575"/>
    </row>
    <row r="634" spans="1:28" s="165" customFormat="1" ht="16.5" customHeight="1">
      <c r="A634" s="238"/>
      <c r="B634" s="2258"/>
      <c r="C634" s="2259"/>
      <c r="D634" s="2259"/>
      <c r="E634" s="2259"/>
      <c r="F634" s="2259"/>
      <c r="G634" s="2259"/>
      <c r="H634" s="1617" t="s">
        <v>52</v>
      </c>
      <c r="I634" s="716" t="s">
        <v>945</v>
      </c>
      <c r="J634" s="1991">
        <f>31200/10000</f>
        <v>3.12</v>
      </c>
      <c r="K634" s="1984" t="s">
        <v>622</v>
      </c>
      <c r="L634" s="1953">
        <f>L95</f>
        <v>3.441</v>
      </c>
      <c r="M634" s="1967">
        <f>J634+L634</f>
        <v>6.561</v>
      </c>
      <c r="N634" s="1954" t="s">
        <v>622</v>
      </c>
      <c r="O634" s="1591">
        <f>M634/10000</f>
        <v>0.0006561</v>
      </c>
      <c r="P634" s="1592" t="s">
        <v>622</v>
      </c>
      <c r="Q634" s="482"/>
      <c r="R634" s="2567">
        <v>26000</v>
      </c>
      <c r="S634" s="2555" t="s">
        <v>622</v>
      </c>
      <c r="T634" s="2568">
        <f>V634*1.2</f>
        <v>31200</v>
      </c>
      <c r="U634" s="2568"/>
      <c r="V634" s="2567">
        <v>26000</v>
      </c>
      <c r="W634" s="2555" t="s">
        <v>622</v>
      </c>
      <c r="X634" s="2575"/>
      <c r="Y634" s="2575"/>
      <c r="Z634" s="2575"/>
      <c r="AA634" s="2575"/>
      <c r="AB634" s="2575"/>
    </row>
    <row r="635" spans="1:28" s="165" customFormat="1" ht="16.5" customHeight="1">
      <c r="A635" s="238"/>
      <c r="B635" s="1316"/>
      <c r="C635" s="1315"/>
      <c r="D635" s="1315"/>
      <c r="E635" s="1315"/>
      <c r="F635" s="1315"/>
      <c r="G635" s="2272" t="s">
        <v>53</v>
      </c>
      <c r="H635" s="2263"/>
      <c r="I635" s="716" t="s">
        <v>945</v>
      </c>
      <c r="J635" s="1991">
        <f>31200/10000</f>
        <v>3.12</v>
      </c>
      <c r="K635" s="1984" t="s">
        <v>622</v>
      </c>
      <c r="L635" s="1953">
        <f>L96</f>
        <v>3.4372</v>
      </c>
      <c r="M635" s="1967">
        <f>J635+L635</f>
        <v>6.5572</v>
      </c>
      <c r="N635" s="1954" t="s">
        <v>622</v>
      </c>
      <c r="O635" s="1591">
        <f>M635/10000</f>
        <v>0.00065572</v>
      </c>
      <c r="P635" s="1592" t="s">
        <v>622</v>
      </c>
      <c r="Q635" s="482"/>
      <c r="R635" s="2567">
        <v>26000</v>
      </c>
      <c r="S635" s="2555" t="s">
        <v>622</v>
      </c>
      <c r="T635" s="2568">
        <f>V635*1.2</f>
        <v>31200</v>
      </c>
      <c r="U635" s="2568"/>
      <c r="V635" s="2567">
        <v>26000</v>
      </c>
      <c r="W635" s="2555" t="s">
        <v>622</v>
      </c>
      <c r="X635" s="2575"/>
      <c r="Y635" s="2575"/>
      <c r="Z635" s="2575"/>
      <c r="AA635" s="2575"/>
      <c r="AB635" s="2575"/>
    </row>
    <row r="636" spans="1:28" s="165" customFormat="1" ht="16.5" customHeight="1">
      <c r="A636" s="241"/>
      <c r="B636" s="1607"/>
      <c r="C636" s="1608"/>
      <c r="D636" s="1608"/>
      <c r="E636" s="1608"/>
      <c r="F636" s="1608"/>
      <c r="G636" s="2271" t="s">
        <v>54</v>
      </c>
      <c r="H636" s="2263"/>
      <c r="I636" s="720" t="s">
        <v>945</v>
      </c>
      <c r="J636" s="1991">
        <f>31200/10000</f>
        <v>3.12</v>
      </c>
      <c r="K636" s="1984" t="s">
        <v>622</v>
      </c>
      <c r="L636" s="1953">
        <f>L97</f>
        <v>3.5332</v>
      </c>
      <c r="M636" s="1970">
        <f>J636+L636</f>
        <v>6.6532</v>
      </c>
      <c r="N636" s="1961" t="s">
        <v>622</v>
      </c>
      <c r="O636" s="1591">
        <f>M636/10000</f>
        <v>0.00066532</v>
      </c>
      <c r="P636" s="1592" t="s">
        <v>622</v>
      </c>
      <c r="Q636" s="482"/>
      <c r="R636" s="2567">
        <v>26000</v>
      </c>
      <c r="S636" s="2555" t="s">
        <v>622</v>
      </c>
      <c r="T636" s="2568">
        <f>V636*1.2</f>
        <v>31200</v>
      </c>
      <c r="U636" s="2568"/>
      <c r="V636" s="2567">
        <v>26000</v>
      </c>
      <c r="W636" s="2555" t="s">
        <v>622</v>
      </c>
      <c r="X636" s="2575"/>
      <c r="Y636" s="2575"/>
      <c r="Z636" s="2575"/>
      <c r="AA636" s="2575"/>
      <c r="AB636" s="2575"/>
    </row>
    <row r="637" spans="1:28" s="165" customFormat="1" ht="16.5" customHeight="1">
      <c r="A637" s="236" t="s">
        <v>87</v>
      </c>
      <c r="B637" s="2258" t="s">
        <v>55</v>
      </c>
      <c r="C637" s="2262"/>
      <c r="D637" s="2262"/>
      <c r="E637" s="2262"/>
      <c r="F637" s="2262"/>
      <c r="G637" s="2262"/>
      <c r="H637" s="2263"/>
      <c r="I637" s="716"/>
      <c r="J637" s="1987"/>
      <c r="K637" s="1984"/>
      <c r="L637" s="1953"/>
      <c r="M637" s="1967"/>
      <c r="N637" s="1954"/>
      <c r="O637" s="1580"/>
      <c r="P637" s="1314"/>
      <c r="Q637" s="150"/>
      <c r="R637" s="2567"/>
      <c r="S637" s="2555"/>
      <c r="T637" s="2565"/>
      <c r="U637" s="2565"/>
      <c r="V637" s="2567"/>
      <c r="W637" s="2555"/>
      <c r="X637" s="2575"/>
      <c r="Y637" s="2575"/>
      <c r="Z637" s="2575"/>
      <c r="AA637" s="2575"/>
      <c r="AB637" s="2575"/>
    </row>
    <row r="638" spans="1:28" s="165" customFormat="1" ht="16.5" customHeight="1">
      <c r="A638" s="236"/>
      <c r="B638" s="2258" t="s">
        <v>155</v>
      </c>
      <c r="C638" s="2262"/>
      <c r="D638" s="2262"/>
      <c r="E638" s="2262"/>
      <c r="F638" s="1618"/>
      <c r="G638" s="2272" t="str">
        <f>'[1]лаб.'!$H$206</f>
        <v>мужчины</v>
      </c>
      <c r="H638" s="2263"/>
      <c r="I638" s="716" t="s">
        <v>945</v>
      </c>
      <c r="J638" s="1991">
        <f>65200/10000</f>
        <v>6.52</v>
      </c>
      <c r="K638" s="1993">
        <f>22800/10000</f>
        <v>2.28</v>
      </c>
      <c r="L638" s="1953">
        <f>L99</f>
        <v>3.343</v>
      </c>
      <c r="M638" s="1967">
        <f>J638+L638</f>
        <v>9.863</v>
      </c>
      <c r="N638" s="1954">
        <f>K638+L638</f>
        <v>5.622999999999999</v>
      </c>
      <c r="O638" s="1591">
        <f aca="true" t="shared" si="66" ref="O638:P640">M638/10000</f>
        <v>0.0009862999999999999</v>
      </c>
      <c r="P638" s="1592">
        <f t="shared" si="66"/>
        <v>0.0005623</v>
      </c>
      <c r="Q638" s="482">
        <f>S638*1.2</f>
        <v>22800</v>
      </c>
      <c r="R638" s="2567">
        <v>54300</v>
      </c>
      <c r="S638" s="2555">
        <v>19000</v>
      </c>
      <c r="T638" s="2568">
        <f aca="true" t="shared" si="67" ref="T638:U640">V638*1.2</f>
        <v>65160</v>
      </c>
      <c r="U638" s="2568">
        <f t="shared" si="67"/>
        <v>22800</v>
      </c>
      <c r="V638" s="2567">
        <v>54300</v>
      </c>
      <c r="W638" s="2555">
        <v>19000</v>
      </c>
      <c r="X638" s="2575"/>
      <c r="Y638" s="2575"/>
      <c r="Z638" s="2575"/>
      <c r="AA638" s="2575"/>
      <c r="AB638" s="2575"/>
    </row>
    <row r="639" spans="1:28" s="165" customFormat="1" ht="16.5" customHeight="1">
      <c r="A639" s="236"/>
      <c r="B639" s="1316"/>
      <c r="C639" s="1315"/>
      <c r="D639" s="1315"/>
      <c r="E639" s="1315"/>
      <c r="F639" s="1618"/>
      <c r="G639" s="2272" t="str">
        <f>'[1]лаб.'!$H$207</f>
        <v>женщины</v>
      </c>
      <c r="H639" s="2263"/>
      <c r="I639" s="716" t="s">
        <v>945</v>
      </c>
      <c r="J639" s="1991">
        <f>65200/10000</f>
        <v>6.52</v>
      </c>
      <c r="K639" s="1993">
        <f>22800/10000</f>
        <v>2.28</v>
      </c>
      <c r="L639" s="1953">
        <f>L100</f>
        <v>9.8866</v>
      </c>
      <c r="M639" s="1967">
        <f>J639+L639</f>
        <v>16.406599999999997</v>
      </c>
      <c r="N639" s="1954">
        <f>K639+L639</f>
        <v>12.166599999999999</v>
      </c>
      <c r="O639" s="1591">
        <f t="shared" si="66"/>
        <v>0.0016406599999999997</v>
      </c>
      <c r="P639" s="1592">
        <f t="shared" si="66"/>
        <v>0.0012166599999999998</v>
      </c>
      <c r="Q639" s="482">
        <f>S639*1.2</f>
        <v>22800</v>
      </c>
      <c r="R639" s="2567">
        <v>54300</v>
      </c>
      <c r="S639" s="2555">
        <v>19000</v>
      </c>
      <c r="T639" s="2568">
        <f t="shared" si="67"/>
        <v>65160</v>
      </c>
      <c r="U639" s="2568">
        <f t="shared" si="67"/>
        <v>22800</v>
      </c>
      <c r="V639" s="2567">
        <v>54300</v>
      </c>
      <c r="W639" s="2555">
        <v>19000</v>
      </c>
      <c r="X639" s="2575"/>
      <c r="Y639" s="2575"/>
      <c r="Z639" s="2575"/>
      <c r="AA639" s="2575"/>
      <c r="AB639" s="2575"/>
    </row>
    <row r="640" spans="1:28" s="165" customFormat="1" ht="16.5" customHeight="1">
      <c r="A640" s="236"/>
      <c r="B640" s="1316"/>
      <c r="C640" s="1315"/>
      <c r="D640" s="1315"/>
      <c r="E640" s="1315"/>
      <c r="F640" s="1618"/>
      <c r="G640" s="2272" t="str">
        <f>'[1]лаб.'!$H$208</f>
        <v>СА 19-9</v>
      </c>
      <c r="H640" s="2263"/>
      <c r="I640" s="716" t="s">
        <v>945</v>
      </c>
      <c r="J640" s="1991">
        <f>65200/10000</f>
        <v>6.52</v>
      </c>
      <c r="K640" s="1993">
        <f>22800/10000</f>
        <v>2.28</v>
      </c>
      <c r="L640" s="1953">
        <f>L101</f>
        <v>11.5797</v>
      </c>
      <c r="M640" s="1967">
        <f>J640+L640</f>
        <v>18.0997</v>
      </c>
      <c r="N640" s="1954">
        <f>K640+L640</f>
        <v>13.8597</v>
      </c>
      <c r="O640" s="1591">
        <f t="shared" si="66"/>
        <v>0.00180997</v>
      </c>
      <c r="P640" s="1592">
        <f t="shared" si="66"/>
        <v>0.00138597</v>
      </c>
      <c r="Q640" s="482">
        <f>S640*1.2</f>
        <v>22800</v>
      </c>
      <c r="R640" s="2567">
        <v>54300</v>
      </c>
      <c r="S640" s="2555">
        <v>19000</v>
      </c>
      <c r="T640" s="2568">
        <f t="shared" si="67"/>
        <v>65160</v>
      </c>
      <c r="U640" s="2568">
        <f t="shared" si="67"/>
        <v>22800</v>
      </c>
      <c r="V640" s="2567">
        <v>54300</v>
      </c>
      <c r="W640" s="2555">
        <v>19000</v>
      </c>
      <c r="X640" s="2575"/>
      <c r="Y640" s="2575"/>
      <c r="Z640" s="2575"/>
      <c r="AA640" s="2575"/>
      <c r="AB640" s="2575"/>
    </row>
    <row r="641" spans="1:28" s="165" customFormat="1" ht="16.5" customHeight="1">
      <c r="A641" s="214">
        <v>6</v>
      </c>
      <c r="B641" s="1619" t="s">
        <v>58</v>
      </c>
      <c r="C641" s="310"/>
      <c r="D641" s="310"/>
      <c r="E641" s="310"/>
      <c r="F641" s="310"/>
      <c r="G641" s="310"/>
      <c r="H641" s="318"/>
      <c r="I641" s="253"/>
      <c r="J641" s="1987"/>
      <c r="K641" s="1984"/>
      <c r="L641" s="1953"/>
      <c r="M641" s="1967"/>
      <c r="N641" s="1969"/>
      <c r="O641" s="1580"/>
      <c r="P641" s="1314"/>
      <c r="Q641" s="150"/>
      <c r="R641" s="2555"/>
      <c r="S641" s="2555"/>
      <c r="T641" s="2565"/>
      <c r="U641" s="2565"/>
      <c r="V641" s="2555"/>
      <c r="W641" s="2555"/>
      <c r="X641" s="2575"/>
      <c r="Y641" s="2575"/>
      <c r="Z641" s="2575"/>
      <c r="AA641" s="2575"/>
      <c r="AB641" s="2575"/>
    </row>
    <row r="642" spans="1:28" s="165" customFormat="1" ht="16.5" customHeight="1">
      <c r="A642" s="238" t="s">
        <v>205</v>
      </c>
      <c r="B642" s="2276" t="s">
        <v>59</v>
      </c>
      <c r="C642" s="2262"/>
      <c r="D642" s="2262"/>
      <c r="E642" s="2262"/>
      <c r="F642" s="2262"/>
      <c r="G642" s="2262"/>
      <c r="H642" s="2263"/>
      <c r="I642" s="253"/>
      <c r="J642" s="1987"/>
      <c r="K642" s="1984"/>
      <c r="L642" s="1953"/>
      <c r="M642" s="1967"/>
      <c r="N642" s="1969"/>
      <c r="O642" s="1580"/>
      <c r="P642" s="1314"/>
      <c r="Q642" s="150"/>
      <c r="R642" s="2555"/>
      <c r="S642" s="2555"/>
      <c r="T642" s="2565"/>
      <c r="U642" s="2565"/>
      <c r="V642" s="2555"/>
      <c r="W642" s="2555"/>
      <c r="X642" s="2575"/>
      <c r="Y642" s="2575"/>
      <c r="Z642" s="2575"/>
      <c r="AA642" s="2575"/>
      <c r="AB642" s="2575"/>
    </row>
    <row r="643" spans="1:28" s="165" customFormat="1" ht="16.5" customHeight="1">
      <c r="A643" s="238"/>
      <c r="B643" s="2264"/>
      <c r="C643" s="2262"/>
      <c r="D643" s="2262"/>
      <c r="E643" s="2262"/>
      <c r="F643" s="2262"/>
      <c r="G643" s="2262"/>
      <c r="H643" s="2263"/>
      <c r="I643" s="716" t="s">
        <v>945</v>
      </c>
      <c r="J643" s="1991">
        <f>65200/10000</f>
        <v>6.52</v>
      </c>
      <c r="K643" s="1993">
        <f>35800/10000</f>
        <v>3.58</v>
      </c>
      <c r="L643" s="1953">
        <f>L104</f>
        <v>0.8747200000000002</v>
      </c>
      <c r="M643" s="1967">
        <f>J643+L643</f>
        <v>7.3947199999999995</v>
      </c>
      <c r="N643" s="1954">
        <f>K643+L643</f>
        <v>4.45472</v>
      </c>
      <c r="O643" s="1591">
        <f>M643/10000</f>
        <v>0.0007394719999999999</v>
      </c>
      <c r="P643" s="1592">
        <f>N643/10000</f>
        <v>0.000445472</v>
      </c>
      <c r="Q643" s="482">
        <f>S643*1.2</f>
        <v>35820</v>
      </c>
      <c r="R643" s="2555">
        <v>54300</v>
      </c>
      <c r="S643" s="2555">
        <v>29850</v>
      </c>
      <c r="T643" s="2568">
        <f>V643*1.2</f>
        <v>65160</v>
      </c>
      <c r="U643" s="2568">
        <f>W643*1.2</f>
        <v>35820</v>
      </c>
      <c r="V643" s="2555">
        <v>54300</v>
      </c>
      <c r="W643" s="2555">
        <v>29850</v>
      </c>
      <c r="X643" s="2575"/>
      <c r="Y643" s="2575"/>
      <c r="Z643" s="2575"/>
      <c r="AA643" s="2575"/>
      <c r="AB643" s="2575"/>
    </row>
    <row r="644" spans="1:28" s="165" customFormat="1" ht="16.5" customHeight="1">
      <c r="A644" s="238" t="s">
        <v>300</v>
      </c>
      <c r="B644" s="2258" t="s">
        <v>60</v>
      </c>
      <c r="C644" s="2262"/>
      <c r="D644" s="2262"/>
      <c r="E644" s="2262"/>
      <c r="F644" s="2262"/>
      <c r="G644" s="2262"/>
      <c r="H644" s="2263"/>
      <c r="I644" s="253"/>
      <c r="J644" s="1987"/>
      <c r="K644" s="1984"/>
      <c r="L644" s="1953"/>
      <c r="M644" s="1967"/>
      <c r="N644" s="1969"/>
      <c r="O644" s="1580"/>
      <c r="P644" s="1314"/>
      <c r="Q644" s="150"/>
      <c r="R644" s="2555"/>
      <c r="S644" s="2555"/>
      <c r="T644" s="2565"/>
      <c r="U644" s="2565"/>
      <c r="V644" s="2555"/>
      <c r="W644" s="2555"/>
      <c r="X644" s="2575"/>
      <c r="Y644" s="2575"/>
      <c r="Z644" s="2575"/>
      <c r="AA644" s="2575"/>
      <c r="AB644" s="2575"/>
    </row>
    <row r="645" spans="1:28" s="165" customFormat="1" ht="16.5" customHeight="1">
      <c r="A645" s="238"/>
      <c r="B645" s="2264"/>
      <c r="C645" s="2262"/>
      <c r="D645" s="2262"/>
      <c r="E645" s="2262"/>
      <c r="F645" s="2262"/>
      <c r="G645" s="2262"/>
      <c r="H645" s="2263"/>
      <c r="I645" s="716" t="s">
        <v>945</v>
      </c>
      <c r="J645" s="1992">
        <f>9700/10000</f>
        <v>0.97</v>
      </c>
      <c r="K645" s="1990">
        <f>6500/10000</f>
        <v>0.65</v>
      </c>
      <c r="L645" s="1953">
        <f>L106</f>
        <v>1.62919</v>
      </c>
      <c r="M645" s="1967">
        <f>J645+L645</f>
        <v>2.59919</v>
      </c>
      <c r="N645" s="1954">
        <f>K645+L645</f>
        <v>2.27919</v>
      </c>
      <c r="O645" s="1591">
        <f>M645/10000</f>
        <v>0.000259919</v>
      </c>
      <c r="P645" s="1592">
        <f>N645/10000</f>
        <v>0.00022791899999999998</v>
      </c>
      <c r="Q645" s="482">
        <f>S645*1.2</f>
        <v>6480</v>
      </c>
      <c r="R645" s="2555">
        <v>8100</v>
      </c>
      <c r="S645" s="2555">
        <v>5400</v>
      </c>
      <c r="T645" s="2568">
        <f>V645*1.2</f>
        <v>9720</v>
      </c>
      <c r="U645" s="2568">
        <f>W645*1.2</f>
        <v>6480</v>
      </c>
      <c r="V645" s="2555">
        <v>8100</v>
      </c>
      <c r="W645" s="2555">
        <v>5400</v>
      </c>
      <c r="X645" s="2575"/>
      <c r="Y645" s="2575"/>
      <c r="Z645" s="2575"/>
      <c r="AA645" s="2575"/>
      <c r="AB645" s="2575"/>
    </row>
    <row r="646" spans="1:28" s="165" customFormat="1" ht="16.5" customHeight="1">
      <c r="A646" s="238" t="s">
        <v>301</v>
      </c>
      <c r="B646" s="2258" t="s">
        <v>61</v>
      </c>
      <c r="C646" s="2262"/>
      <c r="D646" s="2262"/>
      <c r="E646" s="2262"/>
      <c r="F646" s="2262"/>
      <c r="G646" s="2262"/>
      <c r="H646" s="2263"/>
      <c r="I646" s="716" t="s">
        <v>945</v>
      </c>
      <c r="J646" s="1992">
        <f>37100/10000</f>
        <v>3.71</v>
      </c>
      <c r="K646" s="1993">
        <f>26800/10000</f>
        <v>2.68</v>
      </c>
      <c r="L646" s="1953">
        <f>L107</f>
        <v>0.3777765</v>
      </c>
      <c r="M646" s="1967">
        <f>J646+L646</f>
        <v>4.0877765</v>
      </c>
      <c r="N646" s="1954">
        <f>K646+L646</f>
        <v>3.0577765</v>
      </c>
      <c r="O646" s="1591">
        <f>M646/10000</f>
        <v>0.00040877765000000004</v>
      </c>
      <c r="P646" s="1592">
        <f>N646/10000</f>
        <v>0.00030577765000000003</v>
      </c>
      <c r="Q646" s="482">
        <f>S646*1.2</f>
        <v>26760</v>
      </c>
      <c r="R646" s="2555">
        <v>30900</v>
      </c>
      <c r="S646" s="2555">
        <v>22300</v>
      </c>
      <c r="T646" s="2568">
        <f>V646*1.2</f>
        <v>37080</v>
      </c>
      <c r="U646" s="2568">
        <f>W646*1.2</f>
        <v>26760</v>
      </c>
      <c r="V646" s="2555">
        <v>30900</v>
      </c>
      <c r="W646" s="2555">
        <v>22300</v>
      </c>
      <c r="X646" s="2575"/>
      <c r="Y646" s="2575"/>
      <c r="Z646" s="2575"/>
      <c r="AA646" s="2575"/>
      <c r="AB646" s="2575"/>
    </row>
    <row r="647" spans="1:28" s="165" customFormat="1" ht="16.5" customHeight="1">
      <c r="A647" s="238" t="s">
        <v>302</v>
      </c>
      <c r="B647" s="2373" t="s">
        <v>258</v>
      </c>
      <c r="C647" s="2262"/>
      <c r="D647" s="2262"/>
      <c r="E647" s="2262"/>
      <c r="F647" s="2262"/>
      <c r="G647" s="2262"/>
      <c r="H647" s="2263"/>
      <c r="I647" s="716"/>
      <c r="J647" s="1987"/>
      <c r="K647" s="1984"/>
      <c r="L647" s="1953"/>
      <c r="M647" s="1967"/>
      <c r="N647" s="1954"/>
      <c r="O647" s="1580"/>
      <c r="P647" s="1314"/>
      <c r="Q647" s="150"/>
      <c r="R647" s="2555"/>
      <c r="S647" s="2555"/>
      <c r="T647" s="2565"/>
      <c r="U647" s="2565"/>
      <c r="V647" s="2555"/>
      <c r="W647" s="2555"/>
      <c r="X647" s="2575"/>
      <c r="Y647" s="2575"/>
      <c r="Z647" s="2575"/>
      <c r="AA647" s="2575"/>
      <c r="AB647" s="2575"/>
    </row>
    <row r="648" spans="1:28" s="165" customFormat="1" ht="16.5" customHeight="1">
      <c r="A648" s="238"/>
      <c r="B648" s="2264"/>
      <c r="C648" s="2262"/>
      <c r="D648" s="2262"/>
      <c r="E648" s="2262"/>
      <c r="F648" s="2262"/>
      <c r="G648" s="2262"/>
      <c r="H648" s="2263"/>
      <c r="I648" s="716" t="s">
        <v>945</v>
      </c>
      <c r="J648" s="1991">
        <f>28800/10000</f>
        <v>2.88</v>
      </c>
      <c r="K648" s="1968">
        <f>J648</f>
        <v>2.88</v>
      </c>
      <c r="L648" s="1953">
        <f>L109</f>
        <v>5.24</v>
      </c>
      <c r="M648" s="1967">
        <f>J648+L648</f>
        <v>8.120000000000001</v>
      </c>
      <c r="N648" s="1954">
        <f>K648+L648</f>
        <v>8.120000000000001</v>
      </c>
      <c r="O648" s="1591">
        <f>M648/10000</f>
        <v>0.0008120000000000001</v>
      </c>
      <c r="P648" s="1592">
        <f>N648/10000</f>
        <v>0.0008120000000000001</v>
      </c>
      <c r="Q648" s="482">
        <f>S648*1.2</f>
        <v>28800</v>
      </c>
      <c r="R648" s="2555">
        <v>24000</v>
      </c>
      <c r="S648" s="2555">
        <v>24000</v>
      </c>
      <c r="T648" s="2568">
        <f>V648*1.2</f>
        <v>28800</v>
      </c>
      <c r="U648" s="2568">
        <f>W648*1.2</f>
        <v>28800</v>
      </c>
      <c r="V648" s="2555">
        <v>24000</v>
      </c>
      <c r="W648" s="2555">
        <v>24000</v>
      </c>
      <c r="X648" s="2575"/>
      <c r="Y648" s="2575"/>
      <c r="Z648" s="2575"/>
      <c r="AA648" s="2575"/>
      <c r="AB648" s="2575"/>
    </row>
    <row r="649" spans="1:28" s="165" customFormat="1" ht="16.5" customHeight="1">
      <c r="A649" s="214">
        <v>7</v>
      </c>
      <c r="B649" s="2291" t="s">
        <v>62</v>
      </c>
      <c r="C649" s="2262"/>
      <c r="D649" s="2262"/>
      <c r="E649" s="2262"/>
      <c r="F649" s="2262"/>
      <c r="G649" s="2262"/>
      <c r="H649" s="2263"/>
      <c r="I649" s="253"/>
      <c r="J649" s="1987"/>
      <c r="K649" s="1984"/>
      <c r="L649" s="1953"/>
      <c r="M649" s="1967"/>
      <c r="N649" s="1969"/>
      <c r="O649" s="1580"/>
      <c r="P649" s="1314"/>
      <c r="Q649" s="150"/>
      <c r="R649" s="2555"/>
      <c r="S649" s="2555"/>
      <c r="T649" s="2565"/>
      <c r="U649" s="2565"/>
      <c r="V649" s="2555"/>
      <c r="W649" s="2555"/>
      <c r="X649" s="2575"/>
      <c r="Y649" s="2575"/>
      <c r="Z649" s="2575"/>
      <c r="AA649" s="2575"/>
      <c r="AB649" s="2575"/>
    </row>
    <row r="650" spans="1:28" s="165" customFormat="1" ht="16.5" customHeight="1">
      <c r="A650" s="238" t="s">
        <v>303</v>
      </c>
      <c r="B650" s="2258" t="s">
        <v>63</v>
      </c>
      <c r="C650" s="2262"/>
      <c r="D650" s="2262"/>
      <c r="E650" s="2262"/>
      <c r="F650" s="2262"/>
      <c r="G650" s="2262"/>
      <c r="H650" s="2263"/>
      <c r="I650" s="253"/>
      <c r="J650" s="1987"/>
      <c r="K650" s="1984"/>
      <c r="L650" s="1953"/>
      <c r="M650" s="1967"/>
      <c r="N650" s="1969"/>
      <c r="O650" s="1580"/>
      <c r="P650" s="1314"/>
      <c r="Q650" s="150"/>
      <c r="R650" s="2555"/>
      <c r="S650" s="2555"/>
      <c r="T650" s="2565"/>
      <c r="U650" s="2565"/>
      <c r="V650" s="2555"/>
      <c r="W650" s="2555"/>
      <c r="X650" s="2575"/>
      <c r="Y650" s="2575"/>
      <c r="Z650" s="2575"/>
      <c r="AA650" s="2575"/>
      <c r="AB650" s="2575"/>
    </row>
    <row r="651" spans="1:28" s="165" customFormat="1" ht="16.5" customHeight="1">
      <c r="A651" s="238"/>
      <c r="B651" s="2264"/>
      <c r="C651" s="2262"/>
      <c r="D651" s="2262"/>
      <c r="E651" s="2262"/>
      <c r="F651" s="2262"/>
      <c r="G651" s="2262"/>
      <c r="H651" s="2263"/>
      <c r="I651" s="716" t="s">
        <v>945</v>
      </c>
      <c r="J651" s="1958">
        <f>53500/10000</f>
        <v>5.35</v>
      </c>
      <c r="K651" s="1962">
        <f>32900/10000</f>
        <v>3.29</v>
      </c>
      <c r="L651" s="1953">
        <f>L112</f>
        <v>1.01074</v>
      </c>
      <c r="M651" s="1967">
        <f>J651+L651</f>
        <v>6.36074</v>
      </c>
      <c r="N651" s="1954">
        <f>K651+L651</f>
        <v>4.30074</v>
      </c>
      <c r="O651" s="1591">
        <f>M651/10000</f>
        <v>0.000636074</v>
      </c>
      <c r="P651" s="1592">
        <f>N651/10000</f>
        <v>0.000430074</v>
      </c>
      <c r="Q651" s="482">
        <f>S651*1.2</f>
        <v>32880</v>
      </c>
      <c r="R651" s="2555">
        <v>44600</v>
      </c>
      <c r="S651" s="2555">
        <v>27400</v>
      </c>
      <c r="T651" s="2580">
        <f>V651*1.2</f>
        <v>53520</v>
      </c>
      <c r="U651" s="2568">
        <f>W651*1.2</f>
        <v>32880</v>
      </c>
      <c r="V651" s="2555">
        <v>44600</v>
      </c>
      <c r="W651" s="2555">
        <v>27400</v>
      </c>
      <c r="X651" s="2575"/>
      <c r="Y651" s="2575"/>
      <c r="Z651" s="2575"/>
      <c r="AA651" s="2575"/>
      <c r="AB651" s="2575"/>
    </row>
    <row r="652" spans="1:28" s="165" customFormat="1" ht="16.5" customHeight="1">
      <c r="A652" s="214">
        <v>8</v>
      </c>
      <c r="B652" s="1619" t="s">
        <v>64</v>
      </c>
      <c r="C652" s="310"/>
      <c r="D652" s="310"/>
      <c r="E652" s="310"/>
      <c r="F652" s="310"/>
      <c r="G652" s="310"/>
      <c r="H652" s="318"/>
      <c r="I652" s="253"/>
      <c r="J652" s="1987"/>
      <c r="K652" s="1984"/>
      <c r="L652" s="1953"/>
      <c r="M652" s="1967"/>
      <c r="N652" s="1969"/>
      <c r="O652" s="1580"/>
      <c r="P652" s="1314"/>
      <c r="Q652" s="150"/>
      <c r="R652" s="2555"/>
      <c r="S652" s="2555"/>
      <c r="T652" s="2581"/>
      <c r="U652" s="2565"/>
      <c r="V652" s="2555"/>
      <c r="W652" s="2555"/>
      <c r="X652" s="2575"/>
      <c r="Y652" s="2575"/>
      <c r="Z652" s="2575"/>
      <c r="AA652" s="2575"/>
      <c r="AB652" s="2575"/>
    </row>
    <row r="653" spans="1:28" s="165" customFormat="1" ht="16.5" customHeight="1">
      <c r="A653" s="224"/>
      <c r="B653" s="2287" t="s">
        <v>65</v>
      </c>
      <c r="C653" s="2262"/>
      <c r="D653" s="2262"/>
      <c r="E653" s="2262"/>
      <c r="F653" s="2262"/>
      <c r="G653" s="2262"/>
      <c r="H653" s="2263"/>
      <c r="I653" s="253"/>
      <c r="J653" s="1987"/>
      <c r="K653" s="1984"/>
      <c r="L653" s="1953"/>
      <c r="M653" s="1967"/>
      <c r="N653" s="1954"/>
      <c r="O653" s="1580"/>
      <c r="P653" s="1314"/>
      <c r="Q653" s="150"/>
      <c r="R653" s="2555"/>
      <c r="S653" s="2555"/>
      <c r="T653" s="2581"/>
      <c r="U653" s="2565"/>
      <c r="V653" s="2555"/>
      <c r="W653" s="2555"/>
      <c r="X653" s="2575"/>
      <c r="Y653" s="2575"/>
      <c r="Z653" s="2575"/>
      <c r="AA653" s="2575"/>
      <c r="AB653" s="2575"/>
    </row>
    <row r="654" spans="1:28" s="165" customFormat="1" ht="16.5" customHeight="1">
      <c r="A654" s="221" t="s">
        <v>304</v>
      </c>
      <c r="B654" s="2378" t="s">
        <v>69</v>
      </c>
      <c r="C654" s="2262"/>
      <c r="D654" s="2262"/>
      <c r="E654" s="2262"/>
      <c r="F654" s="2262"/>
      <c r="G654" s="2262"/>
      <c r="H654" s="2263"/>
      <c r="I654" s="253"/>
      <c r="J654" s="1987"/>
      <c r="K654" s="1984"/>
      <c r="L654" s="1953"/>
      <c r="M654" s="1967"/>
      <c r="N654" s="1954"/>
      <c r="O654" s="1580"/>
      <c r="P654" s="1314"/>
      <c r="Q654" s="150"/>
      <c r="R654" s="2555"/>
      <c r="S654" s="2555"/>
      <c r="T654" s="2581"/>
      <c r="U654" s="2565"/>
      <c r="V654" s="2555"/>
      <c r="W654" s="2555"/>
      <c r="X654" s="2575"/>
      <c r="Y654" s="2575"/>
      <c r="Z654" s="2575"/>
      <c r="AA654" s="2575"/>
      <c r="AB654" s="2575"/>
    </row>
    <row r="655" spans="1:28" s="165" customFormat="1" ht="16.5" customHeight="1">
      <c r="A655" s="221"/>
      <c r="B655" s="1622" t="s">
        <v>622</v>
      </c>
      <c r="C655" s="310" t="s">
        <v>70</v>
      </c>
      <c r="D655" s="310"/>
      <c r="E655" s="310"/>
      <c r="F655" s="310"/>
      <c r="G655" s="310"/>
      <c r="H655" s="318"/>
      <c r="I655" s="716" t="s">
        <v>945</v>
      </c>
      <c r="J655" s="1958">
        <f>77600/10000</f>
        <v>7.76</v>
      </c>
      <c r="K655" s="1984" t="s">
        <v>622</v>
      </c>
      <c r="L655" s="1953">
        <f>L119</f>
        <v>2.17273755</v>
      </c>
      <c r="M655" s="1967">
        <f>J655+L655</f>
        <v>9.932737549999999</v>
      </c>
      <c r="N655" s="1954" t="s">
        <v>622</v>
      </c>
      <c r="O655" s="1591">
        <f>M655/10000</f>
        <v>0.0009932737549999998</v>
      </c>
      <c r="P655" s="1314"/>
      <c r="Q655" s="150"/>
      <c r="R655" s="2555">
        <v>64700</v>
      </c>
      <c r="S655" s="2555" t="s">
        <v>622</v>
      </c>
      <c r="T655" s="2581">
        <f>V655*1.2</f>
        <v>77640</v>
      </c>
      <c r="U655" s="2565"/>
      <c r="V655" s="2555">
        <v>64700</v>
      </c>
      <c r="W655" s="2555" t="s">
        <v>622</v>
      </c>
      <c r="X655" s="2575"/>
      <c r="Y655" s="2575"/>
      <c r="Z655" s="2575"/>
      <c r="AA655" s="2575"/>
      <c r="AB655" s="2575"/>
    </row>
    <row r="656" spans="1:28" s="165" customFormat="1" ht="16.5" customHeight="1">
      <c r="A656" s="221" t="s">
        <v>346</v>
      </c>
      <c r="B656" s="2258" t="s">
        <v>71</v>
      </c>
      <c r="C656" s="2262"/>
      <c r="D656" s="2262"/>
      <c r="E656" s="2262"/>
      <c r="F656" s="2262"/>
      <c r="G656" s="2262"/>
      <c r="H656" s="2263"/>
      <c r="I656" s="253"/>
      <c r="J656" s="1987"/>
      <c r="K656" s="1984"/>
      <c r="L656" s="1958"/>
      <c r="M656" s="1967"/>
      <c r="N656" s="1954"/>
      <c r="O656" s="1580"/>
      <c r="P656" s="1314"/>
      <c r="Q656" s="150"/>
      <c r="R656" s="2555"/>
      <c r="S656" s="2555"/>
      <c r="T656" s="2581"/>
      <c r="U656" s="2565"/>
      <c r="V656" s="2555"/>
      <c r="W656" s="2555"/>
      <c r="X656" s="2575"/>
      <c r="Y656" s="2575"/>
      <c r="Z656" s="2575"/>
      <c r="AA656" s="2575"/>
      <c r="AB656" s="2575"/>
    </row>
    <row r="657" spans="1:28" s="165" customFormat="1" ht="16.5" customHeight="1">
      <c r="A657" s="221"/>
      <c r="B657" s="2264"/>
      <c r="C657" s="2262"/>
      <c r="D657" s="2262"/>
      <c r="E657" s="2262"/>
      <c r="F657" s="2262"/>
      <c r="G657" s="2262"/>
      <c r="H657" s="2263"/>
      <c r="I657" s="716" t="s">
        <v>945</v>
      </c>
      <c r="J657" s="1952">
        <f>21200/10000</f>
        <v>2.12</v>
      </c>
      <c r="K657" s="1984" t="s">
        <v>622</v>
      </c>
      <c r="L657" s="1953">
        <f>L124</f>
        <v>3.1555999999999997</v>
      </c>
      <c r="M657" s="1967">
        <f>J657+L657</f>
        <v>5.2756</v>
      </c>
      <c r="N657" s="1954" t="s">
        <v>622</v>
      </c>
      <c r="O657" s="1591">
        <f>M657/10000</f>
        <v>0.0005275599999999999</v>
      </c>
      <c r="P657" s="1314"/>
      <c r="Q657" s="150"/>
      <c r="R657" s="2555">
        <v>17700</v>
      </c>
      <c r="S657" s="2555" t="s">
        <v>622</v>
      </c>
      <c r="T657" s="2581">
        <f>V657*1.2</f>
        <v>21240</v>
      </c>
      <c r="U657" s="2565"/>
      <c r="V657" s="2555">
        <v>17700</v>
      </c>
      <c r="W657" s="2555" t="s">
        <v>622</v>
      </c>
      <c r="X657" s="2575"/>
      <c r="Y657" s="2575"/>
      <c r="Z657" s="2575"/>
      <c r="AA657" s="2575"/>
      <c r="AB657" s="2575"/>
    </row>
    <row r="658" spans="1:28" s="165" customFormat="1" ht="16.5" customHeight="1">
      <c r="A658" s="221"/>
      <c r="B658" s="2264"/>
      <c r="C658" s="2262"/>
      <c r="D658" s="2262"/>
      <c r="E658" s="2262"/>
      <c r="F658" s="2262"/>
      <c r="G658" s="2262"/>
      <c r="H658" s="2263"/>
      <c r="I658" s="716"/>
      <c r="J658" s="1987"/>
      <c r="K658" s="1984"/>
      <c r="L658" s="1958"/>
      <c r="M658" s="1967"/>
      <c r="N658" s="1954"/>
      <c r="O658" s="1591"/>
      <c r="P658" s="1592"/>
      <c r="Q658" s="150"/>
      <c r="R658" s="2555"/>
      <c r="S658" s="2555"/>
      <c r="T658" s="2580">
        <f>V658*1.2</f>
        <v>0</v>
      </c>
      <c r="U658" s="2565"/>
      <c r="V658" s="2555"/>
      <c r="W658" s="2555"/>
      <c r="X658" s="2575"/>
      <c r="Y658" s="2575"/>
      <c r="Z658" s="2575"/>
      <c r="AA658" s="2575"/>
      <c r="AB658" s="2575"/>
    </row>
    <row r="659" spans="1:28" s="165" customFormat="1" ht="16.5" customHeight="1">
      <c r="A659" s="221" t="s">
        <v>305</v>
      </c>
      <c r="B659" s="2374" t="s">
        <v>72</v>
      </c>
      <c r="C659" s="2375"/>
      <c r="D659" s="2375"/>
      <c r="E659" s="2375"/>
      <c r="F659" s="2375"/>
      <c r="G659" s="2375"/>
      <c r="H659" s="2376"/>
      <c r="I659" s="253"/>
      <c r="J659" s="1987"/>
      <c r="K659" s="1984"/>
      <c r="L659" s="1958"/>
      <c r="M659" s="1967"/>
      <c r="N659" s="1954"/>
      <c r="O659" s="1580"/>
      <c r="P659" s="1314"/>
      <c r="Q659" s="150"/>
      <c r="R659" s="2555"/>
      <c r="S659" s="2555"/>
      <c r="T659" s="2581"/>
      <c r="U659" s="2565"/>
      <c r="V659" s="2555"/>
      <c r="W659" s="2555"/>
      <c r="X659" s="2575"/>
      <c r="Y659" s="2575"/>
      <c r="Z659" s="2575"/>
      <c r="AA659" s="2575"/>
      <c r="AB659" s="2575"/>
    </row>
    <row r="660" spans="1:28" s="165" customFormat="1" ht="16.5" customHeight="1">
      <c r="A660" s="221"/>
      <c r="B660" s="2377"/>
      <c r="C660" s="2375"/>
      <c r="D660" s="2375"/>
      <c r="E660" s="2375"/>
      <c r="F660" s="2375"/>
      <c r="G660" s="2375"/>
      <c r="H660" s="2376"/>
      <c r="I660" s="253"/>
      <c r="J660" s="1987"/>
      <c r="K660" s="1984"/>
      <c r="L660" s="1958"/>
      <c r="M660" s="1967"/>
      <c r="N660" s="1954"/>
      <c r="O660" s="1580"/>
      <c r="P660" s="1314"/>
      <c r="Q660" s="150"/>
      <c r="R660" s="2555"/>
      <c r="S660" s="2555"/>
      <c r="T660" s="2581"/>
      <c r="U660" s="2565"/>
      <c r="V660" s="2555"/>
      <c r="W660" s="2555"/>
      <c r="X660" s="2575"/>
      <c r="Y660" s="2575"/>
      <c r="Z660" s="2575"/>
      <c r="AA660" s="2575"/>
      <c r="AB660" s="2575"/>
    </row>
    <row r="661" spans="1:28" s="165" customFormat="1" ht="16.5" customHeight="1">
      <c r="A661" s="221"/>
      <c r="B661" s="2377"/>
      <c r="C661" s="2375"/>
      <c r="D661" s="2375"/>
      <c r="E661" s="2375"/>
      <c r="F661" s="2375"/>
      <c r="G661" s="2375"/>
      <c r="H661" s="2376"/>
      <c r="I661" s="716" t="s">
        <v>945</v>
      </c>
      <c r="J661" s="1958">
        <f>25300/10000</f>
        <v>2.53</v>
      </c>
      <c r="K661" s="1984" t="s">
        <v>622</v>
      </c>
      <c r="L661" s="1953">
        <f>L128</f>
        <v>3.272</v>
      </c>
      <c r="M661" s="1967">
        <f>J661+L661</f>
        <v>5.802</v>
      </c>
      <c r="N661" s="1954" t="s">
        <v>622</v>
      </c>
      <c r="O661" s="1591">
        <f>M661/10000</f>
        <v>0.0005802</v>
      </c>
      <c r="P661" s="1314"/>
      <c r="Q661" s="150"/>
      <c r="R661" s="2555">
        <v>21100</v>
      </c>
      <c r="S661" s="2555" t="s">
        <v>622</v>
      </c>
      <c r="T661" s="2581">
        <f>V661*1.2</f>
        <v>25320</v>
      </c>
      <c r="U661" s="2565"/>
      <c r="V661" s="2555">
        <v>21100</v>
      </c>
      <c r="W661" s="2555" t="s">
        <v>622</v>
      </c>
      <c r="X661" s="2575"/>
      <c r="Y661" s="2575"/>
      <c r="Z661" s="2575"/>
      <c r="AA661" s="2575"/>
      <c r="AB661" s="2575"/>
    </row>
    <row r="662" spans="1:28" s="165" customFormat="1" ht="16.5" customHeight="1">
      <c r="A662" s="221" t="s">
        <v>306</v>
      </c>
      <c r="B662" s="2258" t="s">
        <v>73</v>
      </c>
      <c r="C662" s="2262"/>
      <c r="D662" s="2262"/>
      <c r="E662" s="2262"/>
      <c r="F662" s="2262"/>
      <c r="G662" s="2262"/>
      <c r="H662" s="2263"/>
      <c r="I662" s="253"/>
      <c r="J662" s="1987"/>
      <c r="K662" s="1984"/>
      <c r="L662" s="1953"/>
      <c r="M662" s="1967"/>
      <c r="N662" s="1954"/>
      <c r="O662" s="1580"/>
      <c r="P662" s="1314"/>
      <c r="Q662" s="150"/>
      <c r="R662" s="2555"/>
      <c r="S662" s="2555"/>
      <c r="T662" s="2581"/>
      <c r="U662" s="2565"/>
      <c r="V662" s="2555"/>
      <c r="W662" s="2555"/>
      <c r="X662" s="2575"/>
      <c r="Y662" s="2575"/>
      <c r="Z662" s="2575"/>
      <c r="AA662" s="2575"/>
      <c r="AB662" s="2575"/>
    </row>
    <row r="663" spans="1:28" s="165" customFormat="1" ht="16.5" customHeight="1">
      <c r="A663" s="221"/>
      <c r="B663" s="2264"/>
      <c r="C663" s="2262"/>
      <c r="D663" s="2262"/>
      <c r="E663" s="2262"/>
      <c r="F663" s="2262"/>
      <c r="G663" s="2262"/>
      <c r="H663" s="2263"/>
      <c r="I663" s="716" t="s">
        <v>945</v>
      </c>
      <c r="J663" s="1952">
        <f>17400/10000</f>
        <v>1.74</v>
      </c>
      <c r="K663" s="1984" t="s">
        <v>622</v>
      </c>
      <c r="L663" s="1953">
        <f>L130</f>
        <v>5.734749999999999</v>
      </c>
      <c r="M663" s="1967">
        <f>J663+L663</f>
        <v>7.474749999999999</v>
      </c>
      <c r="N663" s="1954" t="s">
        <v>622</v>
      </c>
      <c r="O663" s="1591">
        <f>M663/10000</f>
        <v>0.0007474749999999999</v>
      </c>
      <c r="P663" s="1592"/>
      <c r="Q663" s="150"/>
      <c r="R663" s="2555">
        <v>14500</v>
      </c>
      <c r="S663" s="2555" t="s">
        <v>622</v>
      </c>
      <c r="T663" s="2580">
        <f>V663*1.2</f>
        <v>17400</v>
      </c>
      <c r="U663" s="2565"/>
      <c r="V663" s="2555">
        <v>14500</v>
      </c>
      <c r="W663" s="2555" t="s">
        <v>622</v>
      </c>
      <c r="X663" s="2575"/>
      <c r="Y663" s="2575"/>
      <c r="Z663" s="2575"/>
      <c r="AA663" s="2575"/>
      <c r="AB663" s="2575"/>
    </row>
    <row r="664" spans="1:28" s="165" customFormat="1" ht="16.5" customHeight="1">
      <c r="A664" s="221"/>
      <c r="B664" s="2264"/>
      <c r="C664" s="2262"/>
      <c r="D664" s="2262"/>
      <c r="E664" s="2262"/>
      <c r="F664" s="2262"/>
      <c r="G664" s="2262"/>
      <c r="H664" s="2263"/>
      <c r="I664" s="716"/>
      <c r="J664" s="1987"/>
      <c r="K664" s="1984"/>
      <c r="L664" s="1953"/>
      <c r="M664" s="1967"/>
      <c r="N664" s="1954"/>
      <c r="O664" s="1580"/>
      <c r="P664" s="1314"/>
      <c r="Q664" s="150"/>
      <c r="R664" s="2555"/>
      <c r="S664" s="2555"/>
      <c r="T664" s="2581"/>
      <c r="U664" s="2565"/>
      <c r="V664" s="2555"/>
      <c r="W664" s="2555"/>
      <c r="X664" s="2575"/>
      <c r="Y664" s="2575"/>
      <c r="Z664" s="2575"/>
      <c r="AA664" s="2575"/>
      <c r="AB664" s="2575"/>
    </row>
    <row r="665" spans="1:28" s="165" customFormat="1" ht="16.5" customHeight="1">
      <c r="A665" s="236" t="s">
        <v>307</v>
      </c>
      <c r="B665" s="1609" t="s">
        <v>74</v>
      </c>
      <c r="C665" s="1613"/>
      <c r="D665" s="1613"/>
      <c r="E665" s="1613"/>
      <c r="F665" s="1613"/>
      <c r="G665" s="1623"/>
      <c r="H665" s="318"/>
      <c r="I665" s="716"/>
      <c r="J665" s="1987"/>
      <c r="K665" s="1984"/>
      <c r="L665" s="1953"/>
      <c r="M665" s="1967"/>
      <c r="N665" s="1954"/>
      <c r="O665" s="1580"/>
      <c r="P665" s="1314"/>
      <c r="Q665" s="150"/>
      <c r="R665" s="2555"/>
      <c r="S665" s="2555"/>
      <c r="T665" s="2581"/>
      <c r="U665" s="2565"/>
      <c r="V665" s="2555"/>
      <c r="W665" s="2555"/>
      <c r="X665" s="2575"/>
      <c r="Y665" s="2575"/>
      <c r="Z665" s="2575"/>
      <c r="AA665" s="2575"/>
      <c r="AB665" s="2575"/>
    </row>
    <row r="666" spans="1:28" s="165" customFormat="1" ht="16.5" customHeight="1">
      <c r="A666" s="221"/>
      <c r="B666" s="1609" t="s">
        <v>75</v>
      </c>
      <c r="C666" s="1613"/>
      <c r="D666" s="1613"/>
      <c r="E666" s="1613"/>
      <c r="F666" s="1613"/>
      <c r="G666" s="1613"/>
      <c r="H666" s="318"/>
      <c r="I666" s="716" t="s">
        <v>945</v>
      </c>
      <c r="J666" s="1952">
        <f>42200/10000</f>
        <v>4.22</v>
      </c>
      <c r="K666" s="1968"/>
      <c r="L666" s="1953">
        <f>L133</f>
        <v>2.9629999999999996</v>
      </c>
      <c r="M666" s="1963">
        <f>J666+L666</f>
        <v>7.183</v>
      </c>
      <c r="N666" s="1959" t="s">
        <v>622</v>
      </c>
      <c r="O666" s="1591">
        <f>M666/10000</f>
        <v>0.0007183</v>
      </c>
      <c r="P666" s="1314"/>
      <c r="Q666" s="150"/>
      <c r="R666" s="2555">
        <v>35200</v>
      </c>
      <c r="S666" s="2555"/>
      <c r="T666" s="2581">
        <f>V666*1.2</f>
        <v>42240</v>
      </c>
      <c r="U666" s="2565"/>
      <c r="V666" s="2555">
        <v>35200</v>
      </c>
      <c r="W666" s="2555"/>
      <c r="X666" s="2575"/>
      <c r="Y666" s="2575"/>
      <c r="Z666" s="2575"/>
      <c r="AA666" s="2575"/>
      <c r="AB666" s="2575"/>
    </row>
    <row r="667" spans="1:28" s="165" customFormat="1" ht="16.5" customHeight="1">
      <c r="A667" s="221" t="s">
        <v>308</v>
      </c>
      <c r="B667" s="2258" t="s">
        <v>76</v>
      </c>
      <c r="C667" s="2262"/>
      <c r="D667" s="2262"/>
      <c r="E667" s="2262"/>
      <c r="F667" s="2262"/>
      <c r="G667" s="2262"/>
      <c r="H667" s="2263"/>
      <c r="I667" s="253"/>
      <c r="J667" s="1987"/>
      <c r="K667" s="1968"/>
      <c r="L667" s="1953"/>
      <c r="M667" s="1967"/>
      <c r="N667" s="1954"/>
      <c r="O667" s="1591"/>
      <c r="P667" s="1595"/>
      <c r="Q667" s="150"/>
      <c r="R667" s="2555"/>
      <c r="S667" s="2555"/>
      <c r="T667" s="2580">
        <f>V667*1.2</f>
        <v>0</v>
      </c>
      <c r="U667" s="2565"/>
      <c r="V667" s="2555"/>
      <c r="W667" s="2555"/>
      <c r="X667" s="2575"/>
      <c r="Y667" s="2575"/>
      <c r="Z667" s="2575"/>
      <c r="AA667" s="2575"/>
      <c r="AB667" s="2575"/>
    </row>
    <row r="668" spans="1:28" s="165" customFormat="1" ht="16.5" customHeight="1">
      <c r="A668" s="221"/>
      <c r="B668" s="2264"/>
      <c r="C668" s="2262"/>
      <c r="D668" s="2262"/>
      <c r="E668" s="2262"/>
      <c r="F668" s="2262"/>
      <c r="G668" s="2262"/>
      <c r="H668" s="2263"/>
      <c r="I668" s="253"/>
      <c r="J668" s="1987"/>
      <c r="K668" s="1968"/>
      <c r="L668" s="1953"/>
      <c r="M668" s="1967"/>
      <c r="N668" s="1954"/>
      <c r="O668" s="1580"/>
      <c r="P668" s="1595"/>
      <c r="Q668" s="150"/>
      <c r="R668" s="2555"/>
      <c r="S668" s="2555"/>
      <c r="T668" s="2581"/>
      <c r="U668" s="2565"/>
      <c r="V668" s="2555"/>
      <c r="W668" s="2555"/>
      <c r="X668" s="2575"/>
      <c r="Y668" s="2575"/>
      <c r="Z668" s="2575"/>
      <c r="AA668" s="2575"/>
      <c r="AB668" s="2575"/>
    </row>
    <row r="669" spans="1:28" s="165" customFormat="1" ht="16.5" customHeight="1">
      <c r="A669" s="233"/>
      <c r="B669" s="2288"/>
      <c r="C669" s="2289"/>
      <c r="D669" s="2289"/>
      <c r="E669" s="2289"/>
      <c r="F669" s="2289"/>
      <c r="G669" s="2289"/>
      <c r="H669" s="2290"/>
      <c r="I669" s="721" t="s">
        <v>945</v>
      </c>
      <c r="J669" s="1971">
        <f>24100/10000</f>
        <v>2.41</v>
      </c>
      <c r="K669" s="1972" t="s">
        <v>622</v>
      </c>
      <c r="L669" s="1953">
        <f>L136</f>
        <v>5.792420000000001</v>
      </c>
      <c r="M669" s="1973">
        <f>J669+L669</f>
        <v>8.20242</v>
      </c>
      <c r="N669" s="1974" t="s">
        <v>622</v>
      </c>
      <c r="O669" s="1591">
        <f>M669/10000</f>
        <v>0.000820242</v>
      </c>
      <c r="P669" s="1595" t="s">
        <v>622</v>
      </c>
      <c r="Q669" s="150"/>
      <c r="R669" s="2555">
        <v>20100</v>
      </c>
      <c r="S669" s="2555" t="s">
        <v>622</v>
      </c>
      <c r="T669" s="2580">
        <f>V669*1.2</f>
        <v>24120</v>
      </c>
      <c r="U669" s="2565"/>
      <c r="V669" s="2555">
        <v>20100</v>
      </c>
      <c r="W669" s="2555" t="s">
        <v>622</v>
      </c>
      <c r="X669" s="2575"/>
      <c r="Y669" s="2575"/>
      <c r="Z669" s="2575"/>
      <c r="AA669" s="2575"/>
      <c r="AB669" s="2575"/>
    </row>
    <row r="670" spans="1:28" s="165" customFormat="1" ht="16.5" customHeight="1">
      <c r="A670" s="485"/>
      <c r="B670" s="1624" t="s">
        <v>340</v>
      </c>
      <c r="C670" s="1625"/>
      <c r="D670" s="1625"/>
      <c r="E670" s="1625"/>
      <c r="F670" s="1625"/>
      <c r="G670" s="1625"/>
      <c r="H670" s="1625"/>
      <c r="I670" s="486"/>
      <c r="J670" s="1989"/>
      <c r="K670" s="1975"/>
      <c r="L670" s="1976"/>
      <c r="M670" s="1977"/>
      <c r="N670" s="1978"/>
      <c r="O670" s="1658"/>
      <c r="P670" s="1657"/>
      <c r="Q670" s="150"/>
      <c r="R670" s="2568"/>
      <c r="S670" s="2569"/>
      <c r="T670" s="2581"/>
      <c r="U670" s="2565"/>
      <c r="V670" s="2568"/>
      <c r="W670" s="2569"/>
      <c r="X670" s="2575"/>
      <c r="Y670" s="2575"/>
      <c r="Z670" s="2575"/>
      <c r="AA670" s="2575"/>
      <c r="AB670" s="2575"/>
    </row>
    <row r="671" spans="1:28" s="165" customFormat="1" ht="16.5" customHeight="1">
      <c r="A671" s="947"/>
      <c r="B671" s="2277" t="s">
        <v>341</v>
      </c>
      <c r="C671" s="2278"/>
      <c r="D671" s="2278"/>
      <c r="E671" s="2278"/>
      <c r="F671" s="2278"/>
      <c r="G671" s="2278"/>
      <c r="H671" s="2278"/>
      <c r="I671" s="950" t="s">
        <v>945</v>
      </c>
      <c r="J671" s="1979">
        <f>6000/10000</f>
        <v>0.6</v>
      </c>
      <c r="K671" s="1980" t="s">
        <v>622</v>
      </c>
      <c r="L671" s="1981">
        <f>L138</f>
        <v>0.285165</v>
      </c>
      <c r="M671" s="1982">
        <f>J671+L671</f>
        <v>0.885165</v>
      </c>
      <c r="N671" s="1974" t="s">
        <v>622</v>
      </c>
      <c r="O671" s="1635">
        <f>M671/10000</f>
        <v>8.85165E-05</v>
      </c>
      <c r="P671" s="1597"/>
      <c r="Q671" s="150"/>
      <c r="R671" s="2555">
        <v>5000</v>
      </c>
      <c r="S671" s="2555" t="s">
        <v>622</v>
      </c>
      <c r="T671" s="2581">
        <f>V671*1.2</f>
        <v>6000</v>
      </c>
      <c r="U671" s="2565"/>
      <c r="V671" s="2555">
        <v>5000</v>
      </c>
      <c r="W671" s="2555" t="s">
        <v>622</v>
      </c>
      <c r="X671" s="2575"/>
      <c r="Y671" s="2575"/>
      <c r="Z671" s="2575"/>
      <c r="AA671" s="2575"/>
      <c r="AB671" s="2575"/>
    </row>
    <row r="672" spans="1:28" s="164" customFormat="1" ht="19.5">
      <c r="A672" s="158"/>
      <c r="B672" s="159"/>
      <c r="C672" s="159"/>
      <c r="D672" s="159"/>
      <c r="E672" s="159"/>
      <c r="F672" s="159"/>
      <c r="G672" s="159"/>
      <c r="H672" s="159"/>
      <c r="I672" s="158"/>
      <c r="J672" s="158"/>
      <c r="K672" s="159"/>
      <c r="L672" s="249"/>
      <c r="M672" s="250"/>
      <c r="O672" s="1652"/>
      <c r="P672" s="1653"/>
      <c r="R672" s="2570"/>
      <c r="S672" s="2570"/>
      <c r="T672" s="2582">
        <f>V672*1.2</f>
        <v>0</v>
      </c>
      <c r="U672" s="2570"/>
      <c r="V672" s="2570"/>
      <c r="W672" s="2570"/>
      <c r="X672" s="2570"/>
      <c r="Y672" s="2570"/>
      <c r="Z672" s="2570"/>
      <c r="AA672" s="2570"/>
      <c r="AB672" s="2570"/>
    </row>
    <row r="673" spans="1:28" s="165" customFormat="1" ht="17.25">
      <c r="A673" s="245" t="str">
        <f>A368</f>
        <v>Главный бухгалтер</v>
      </c>
      <c r="B673" s="207"/>
      <c r="C673" s="207"/>
      <c r="D673" s="207"/>
      <c r="E673" s="207"/>
      <c r="F673" s="207"/>
      <c r="G673" s="207"/>
      <c r="H673" s="245"/>
      <c r="I673" s="245"/>
      <c r="J673" s="245"/>
      <c r="K673" s="245"/>
      <c r="L673" s="251"/>
      <c r="M673" s="245"/>
      <c r="N673" s="245" t="str">
        <f>M368</f>
        <v>М.В. Ровгач</v>
      </c>
      <c r="O673" s="1579"/>
      <c r="P673" s="1654"/>
      <c r="Q673" s="150"/>
      <c r="R673" s="2575"/>
      <c r="S673" s="2575"/>
      <c r="T673" s="2565"/>
      <c r="U673" s="2565"/>
      <c r="V673" s="2575"/>
      <c r="W673" s="2575"/>
      <c r="X673" s="2575"/>
      <c r="Y673" s="2575"/>
      <c r="Z673" s="2575"/>
      <c r="AA673" s="2575"/>
      <c r="AB673" s="2575"/>
    </row>
    <row r="674" spans="1:28" s="164" customFormat="1" ht="17.25">
      <c r="A674" s="158"/>
      <c r="B674" s="159"/>
      <c r="C674" s="159"/>
      <c r="D674" s="159"/>
      <c r="E674" s="159"/>
      <c r="F674" s="159"/>
      <c r="G674" s="159"/>
      <c r="H674" s="158"/>
      <c r="I674" s="158"/>
      <c r="J674" s="158"/>
      <c r="K674" s="158"/>
      <c r="L674" s="252"/>
      <c r="M674" s="158"/>
      <c r="N674" s="158"/>
      <c r="O674" s="1579"/>
      <c r="P674" s="1654"/>
      <c r="R674" s="2570"/>
      <c r="S674" s="2570"/>
      <c r="T674" s="2570"/>
      <c r="U674" s="2570"/>
      <c r="V674" s="2570"/>
      <c r="W674" s="2570"/>
      <c r="X674" s="2570"/>
      <c r="Y674" s="2570"/>
      <c r="Z674" s="2570"/>
      <c r="AA674" s="2570"/>
      <c r="AB674" s="2570"/>
    </row>
    <row r="675" spans="1:28" s="165" customFormat="1" ht="19.5">
      <c r="A675" s="245" t="str">
        <f>A370</f>
        <v>Бухгалтер</v>
      </c>
      <c r="B675" s="207"/>
      <c r="C675" s="207"/>
      <c r="D675" s="207"/>
      <c r="E675" s="207"/>
      <c r="F675" s="207"/>
      <c r="G675" s="207"/>
      <c r="H675" s="245"/>
      <c r="I675" s="245"/>
      <c r="J675" s="245"/>
      <c r="K675" s="245"/>
      <c r="L675" s="251"/>
      <c r="M675" s="245"/>
      <c r="N675" s="245" t="str">
        <f>M370</f>
        <v>О.Н.Гаркавая</v>
      </c>
      <c r="O675" s="1652"/>
      <c r="P675" s="1654"/>
      <c r="Q675" s="150"/>
      <c r="R675" s="2575"/>
      <c r="S675" s="2575"/>
      <c r="T675" s="2568">
        <f>V675*1.2</f>
        <v>0</v>
      </c>
      <c r="U675" s="2565"/>
      <c r="V675" s="2575"/>
      <c r="W675" s="2575"/>
      <c r="X675" s="2575"/>
      <c r="Y675" s="2575"/>
      <c r="Z675" s="2575"/>
      <c r="AA675" s="2575"/>
      <c r="AB675" s="2575"/>
    </row>
    <row r="676" spans="1:28" s="164" customFormat="1" ht="16.5">
      <c r="A676" s="158"/>
      <c r="B676" s="159"/>
      <c r="C676" s="159"/>
      <c r="D676" s="159"/>
      <c r="E676" s="159"/>
      <c r="F676" s="159"/>
      <c r="G676" s="159"/>
      <c r="H676" s="158"/>
      <c r="I676" s="158"/>
      <c r="J676" s="158"/>
      <c r="K676" s="158"/>
      <c r="L676" s="252"/>
      <c r="M676" s="158"/>
      <c r="N676" s="158"/>
      <c r="O676" s="1655"/>
      <c r="P676" s="1656"/>
      <c r="R676" s="2570"/>
      <c r="S676" s="2570"/>
      <c r="T676" s="2570"/>
      <c r="U676" s="2570"/>
      <c r="V676" s="2570"/>
      <c r="W676" s="2570"/>
      <c r="X676" s="2570"/>
      <c r="Y676" s="2570"/>
      <c r="Z676" s="2570"/>
      <c r="AA676" s="2570"/>
      <c r="AB676" s="2570"/>
    </row>
    <row r="677" spans="1:28" s="165" customFormat="1" ht="19.5">
      <c r="A677" s="245" t="str">
        <f>A372</f>
        <v>Начальник  ПЭО</v>
      </c>
      <c r="B677" s="207"/>
      <c r="C677" s="207"/>
      <c r="D677" s="207"/>
      <c r="E677" s="207"/>
      <c r="F677" s="207"/>
      <c r="G677" s="207"/>
      <c r="H677" s="245"/>
      <c r="I677" s="245"/>
      <c r="J677" s="245"/>
      <c r="K677" s="245"/>
      <c r="L677" s="251"/>
      <c r="M677" s="245"/>
      <c r="N677" s="245" t="str">
        <f>M372</f>
        <v>В.К.Лысая</v>
      </c>
      <c r="O677" s="1652"/>
      <c r="P677" s="1654"/>
      <c r="Q677" s="151"/>
      <c r="R677" s="2575"/>
      <c r="S677" s="2575"/>
      <c r="T677" s="2568">
        <f>V677*1.2</f>
        <v>0</v>
      </c>
      <c r="U677" s="2569"/>
      <c r="V677" s="2575"/>
      <c r="W677" s="2575"/>
      <c r="X677" s="2575"/>
      <c r="Y677" s="2575"/>
      <c r="Z677" s="2575"/>
      <c r="AA677" s="2575"/>
      <c r="AB677" s="2575"/>
    </row>
    <row r="678" spans="1:28" s="164" customFormat="1" ht="11.25">
      <c r="A678" s="253"/>
      <c r="B678" s="159"/>
      <c r="C678" s="159"/>
      <c r="D678" s="159"/>
      <c r="E678" s="159"/>
      <c r="F678" s="159"/>
      <c r="G678" s="159"/>
      <c r="H678" s="253"/>
      <c r="I678" s="253"/>
      <c r="J678" s="253"/>
      <c r="K678" s="253"/>
      <c r="L678" s="254"/>
      <c r="M678" s="253"/>
      <c r="N678" s="253"/>
      <c r="O678" s="159"/>
      <c r="P678" s="159"/>
      <c r="R678" s="2570"/>
      <c r="S678" s="2570"/>
      <c r="T678" s="2570"/>
      <c r="U678" s="2570"/>
      <c r="V678" s="2570"/>
      <c r="W678" s="2570"/>
      <c r="X678" s="2570"/>
      <c r="Y678" s="2570"/>
      <c r="Z678" s="2570"/>
      <c r="AA678" s="2570"/>
      <c r="AB678" s="2570"/>
    </row>
    <row r="679" spans="1:28" s="165" customFormat="1" ht="15.75">
      <c r="A679" s="245" t="str">
        <f>A374</f>
        <v>Экономист</v>
      </c>
      <c r="B679" s="207"/>
      <c r="C679" s="207"/>
      <c r="D679" s="207"/>
      <c r="E679" s="207"/>
      <c r="F679" s="207"/>
      <c r="G679" s="207"/>
      <c r="H679" s="245"/>
      <c r="I679" s="245"/>
      <c r="J679" s="245"/>
      <c r="K679" s="245"/>
      <c r="L679" s="251"/>
      <c r="M679" s="245"/>
      <c r="N679" s="245" t="str">
        <f>M374</f>
        <v>Е.О.Андреева</v>
      </c>
      <c r="R679" s="2575"/>
      <c r="S679" s="2575"/>
      <c r="T679" s="2575"/>
      <c r="U679" s="2575"/>
      <c r="V679" s="2575"/>
      <c r="W679" s="2575"/>
      <c r="X679" s="2575"/>
      <c r="Y679" s="2575"/>
      <c r="Z679" s="2575"/>
      <c r="AA679" s="2575"/>
      <c r="AB679" s="2575"/>
    </row>
    <row r="680" spans="1:28" s="165" customFormat="1" ht="15.75">
      <c r="A680" s="148"/>
      <c r="B680" s="149"/>
      <c r="C680" s="149"/>
      <c r="D680" s="149"/>
      <c r="E680" s="149"/>
      <c r="F680" s="149"/>
      <c r="G680" s="255" t="s">
        <v>404</v>
      </c>
      <c r="H680" s="149"/>
      <c r="I680" s="169"/>
      <c r="J680" s="150"/>
      <c r="K680" s="150"/>
      <c r="L680" s="256"/>
      <c r="M680" s="150"/>
      <c r="N680" s="150"/>
      <c r="R680" s="2575"/>
      <c r="S680" s="2575"/>
      <c r="T680" s="2575"/>
      <c r="U680" s="2575"/>
      <c r="V680" s="2575"/>
      <c r="W680" s="2575"/>
      <c r="X680" s="2575"/>
      <c r="Y680" s="2575"/>
      <c r="Z680" s="2575"/>
      <c r="AA680" s="2575"/>
      <c r="AB680" s="2575"/>
    </row>
    <row r="681" spans="1:28" s="165" customFormat="1" ht="15.75">
      <c r="A681" s="148"/>
      <c r="B681" s="215"/>
      <c r="C681" s="257"/>
      <c r="D681" s="257"/>
      <c r="E681" s="149"/>
      <c r="F681" s="149"/>
      <c r="G681" s="258" t="s">
        <v>153</v>
      </c>
      <c r="H681" s="259" t="str">
        <f>C551</f>
        <v>01.07.2017г.</v>
      </c>
      <c r="I681" s="260"/>
      <c r="J681" s="150"/>
      <c r="K681" s="150"/>
      <c r="L681" s="256"/>
      <c r="M681" s="150"/>
      <c r="N681" s="150"/>
      <c r="R681" s="2575"/>
      <c r="S681" s="2575"/>
      <c r="T681" s="2575"/>
      <c r="U681" s="2575"/>
      <c r="V681" s="2575"/>
      <c r="W681" s="2575"/>
      <c r="X681" s="2575"/>
      <c r="Y681" s="2575"/>
      <c r="Z681" s="2575"/>
      <c r="AA681" s="2575"/>
      <c r="AB681" s="2575"/>
    </row>
    <row r="682" spans="1:28" s="177" customFormat="1" ht="12">
      <c r="A682" s="184"/>
      <c r="B682" s="516"/>
      <c r="C682" s="180"/>
      <c r="D682" s="180"/>
      <c r="E682" s="181"/>
      <c r="F682" s="180"/>
      <c r="G682" s="182"/>
      <c r="H682" s="182"/>
      <c r="I682" s="183"/>
      <c r="J682" s="2298" t="s">
        <v>447</v>
      </c>
      <c r="K682" s="2254"/>
      <c r="L682" s="261" t="s">
        <v>923</v>
      </c>
      <c r="M682" s="2240" t="s">
        <v>443</v>
      </c>
      <c r="N682" s="2241"/>
      <c r="R682" s="2563"/>
      <c r="S682" s="2563"/>
      <c r="T682" s="2563"/>
      <c r="U682" s="2563"/>
      <c r="V682" s="2563"/>
      <c r="W682" s="2563"/>
      <c r="X682" s="2563"/>
      <c r="Y682" s="2563"/>
      <c r="Z682" s="2563"/>
      <c r="AA682" s="2563"/>
      <c r="AB682" s="2563"/>
    </row>
    <row r="683" spans="1:28" s="177" customFormat="1" ht="12">
      <c r="A683" s="194"/>
      <c r="B683" s="517"/>
      <c r="C683" s="174"/>
      <c r="D683" s="174"/>
      <c r="E683" s="174"/>
      <c r="F683" s="174"/>
      <c r="G683" s="188"/>
      <c r="H683" s="188" t="s">
        <v>77</v>
      </c>
      <c r="I683" s="189"/>
      <c r="J683" s="2297"/>
      <c r="K683" s="2243"/>
      <c r="L683" s="262" t="s">
        <v>924</v>
      </c>
      <c r="M683" s="2244" t="s">
        <v>925</v>
      </c>
      <c r="N683" s="2245"/>
      <c r="R683" s="2563"/>
      <c r="S683" s="2563"/>
      <c r="T683" s="2563"/>
      <c r="U683" s="2563"/>
      <c r="V683" s="2563"/>
      <c r="W683" s="2563"/>
      <c r="X683" s="2563"/>
      <c r="Y683" s="2563"/>
      <c r="Z683" s="2563"/>
      <c r="AA683" s="2563"/>
      <c r="AB683" s="2563"/>
    </row>
    <row r="684" spans="1:28" s="177" customFormat="1" ht="12">
      <c r="A684" s="194" t="s">
        <v>444</v>
      </c>
      <c r="B684" s="517"/>
      <c r="C684" s="174"/>
      <c r="D684" s="174"/>
      <c r="E684" s="148" t="s">
        <v>445</v>
      </c>
      <c r="F684" s="174"/>
      <c r="G684" s="188"/>
      <c r="H684" s="188" t="s">
        <v>78</v>
      </c>
      <c r="I684" s="189" t="s">
        <v>844</v>
      </c>
      <c r="J684" s="183" t="s">
        <v>926</v>
      </c>
      <c r="K684" s="183" t="s">
        <v>927</v>
      </c>
      <c r="L684" s="262" t="s">
        <v>448</v>
      </c>
      <c r="M684" s="2238" t="s">
        <v>453</v>
      </c>
      <c r="N684" s="2239"/>
      <c r="R684" s="2563"/>
      <c r="S684" s="2563"/>
      <c r="T684" s="2563"/>
      <c r="U684" s="2563"/>
      <c r="V684" s="2563"/>
      <c r="W684" s="2563"/>
      <c r="X684" s="2563"/>
      <c r="Y684" s="2563"/>
      <c r="Z684" s="2563"/>
      <c r="AA684" s="2563"/>
      <c r="AB684" s="2563"/>
    </row>
    <row r="685" spans="1:28" s="177" customFormat="1" ht="12">
      <c r="A685" s="194" t="s">
        <v>450</v>
      </c>
      <c r="B685" s="194"/>
      <c r="C685" s="148"/>
      <c r="D685" s="148"/>
      <c r="E685" s="148"/>
      <c r="F685" s="174"/>
      <c r="G685" s="188"/>
      <c r="H685" s="189" t="s">
        <v>79</v>
      </c>
      <c r="I685" s="189" t="s">
        <v>928</v>
      </c>
      <c r="J685" s="189" t="s">
        <v>929</v>
      </c>
      <c r="K685" s="189" t="s">
        <v>930</v>
      </c>
      <c r="L685" s="262" t="s">
        <v>452</v>
      </c>
      <c r="M685" s="186" t="s">
        <v>926</v>
      </c>
      <c r="N685" s="186" t="s">
        <v>927</v>
      </c>
      <c r="R685" s="2563"/>
      <c r="S685" s="2563"/>
      <c r="T685" s="2563"/>
      <c r="U685" s="2563"/>
      <c r="V685" s="2563"/>
      <c r="W685" s="2563"/>
      <c r="X685" s="2563"/>
      <c r="Y685" s="2563"/>
      <c r="Z685" s="2563"/>
      <c r="AA685" s="2563"/>
      <c r="AB685" s="2563"/>
    </row>
    <row r="686" spans="1:28" s="177" customFormat="1" ht="12">
      <c r="A686" s="194"/>
      <c r="B686" s="517"/>
      <c r="C686" s="174"/>
      <c r="D686" s="174"/>
      <c r="E686" s="174"/>
      <c r="F686" s="174"/>
      <c r="G686" s="189"/>
      <c r="H686" s="189" t="s">
        <v>80</v>
      </c>
      <c r="I686" s="189" t="s">
        <v>931</v>
      </c>
      <c r="J686" s="189"/>
      <c r="K686" s="189" t="s">
        <v>932</v>
      </c>
      <c r="L686" s="263"/>
      <c r="M686" s="192" t="s">
        <v>929</v>
      </c>
      <c r="N686" s="192" t="s">
        <v>930</v>
      </c>
      <c r="R686" s="2563"/>
      <c r="S686" s="2563"/>
      <c r="T686" s="2563"/>
      <c r="U686" s="2563"/>
      <c r="V686" s="2563"/>
      <c r="W686" s="2563"/>
      <c r="X686" s="2563"/>
      <c r="Y686" s="2563"/>
      <c r="Z686" s="2563"/>
      <c r="AA686" s="2563"/>
      <c r="AB686" s="2563"/>
    </row>
    <row r="687" spans="1:28" s="177" customFormat="1" ht="12">
      <c r="A687" s="194"/>
      <c r="B687" s="517"/>
      <c r="C687" s="174"/>
      <c r="D687" s="174"/>
      <c r="E687" s="174"/>
      <c r="F687" s="174"/>
      <c r="G687" s="189"/>
      <c r="H687" s="189" t="s">
        <v>81</v>
      </c>
      <c r="I687" s="189"/>
      <c r="J687" s="189"/>
      <c r="K687" s="189"/>
      <c r="L687" s="263"/>
      <c r="M687" s="192"/>
      <c r="N687" s="192" t="s">
        <v>932</v>
      </c>
      <c r="R687" s="2563"/>
      <c r="S687" s="2563"/>
      <c r="T687" s="2563"/>
      <c r="U687" s="2563"/>
      <c r="V687" s="2563"/>
      <c r="W687" s="2563"/>
      <c r="X687" s="2563"/>
      <c r="Y687" s="2563"/>
      <c r="Z687" s="2563"/>
      <c r="AA687" s="2563"/>
      <c r="AB687" s="2563"/>
    </row>
    <row r="688" spans="1:28" s="177" customFormat="1" ht="12">
      <c r="A688" s="190"/>
      <c r="B688" s="518"/>
      <c r="C688" s="202"/>
      <c r="D688" s="202"/>
      <c r="E688" s="202"/>
      <c r="F688" s="202"/>
      <c r="G688" s="203"/>
      <c r="H688" s="203"/>
      <c r="I688" s="125"/>
      <c r="J688" s="125" t="s">
        <v>933</v>
      </c>
      <c r="K688" s="125" t="s">
        <v>457</v>
      </c>
      <c r="L688" s="264" t="s">
        <v>457</v>
      </c>
      <c r="M688" s="193" t="s">
        <v>457</v>
      </c>
      <c r="N688" s="193" t="s">
        <v>457</v>
      </c>
      <c r="R688" s="2563"/>
      <c r="S688" s="2563"/>
      <c r="T688" s="2563"/>
      <c r="U688" s="2563"/>
      <c r="V688" s="2563"/>
      <c r="W688" s="2563"/>
      <c r="X688" s="2563"/>
      <c r="Y688" s="2563"/>
      <c r="Z688" s="2563"/>
      <c r="AA688" s="2563"/>
      <c r="AB688" s="2563"/>
    </row>
    <row r="689" spans="1:28" s="165" customFormat="1" ht="14.25" customHeight="1">
      <c r="A689" s="512">
        <v>1</v>
      </c>
      <c r="B689" s="519" t="s">
        <v>82</v>
      </c>
      <c r="C689" s="265"/>
      <c r="D689" s="265"/>
      <c r="E689" s="265"/>
      <c r="F689" s="265"/>
      <c r="G689" s="266"/>
      <c r="H689" s="118"/>
      <c r="I689" s="531"/>
      <c r="J689" s="515"/>
      <c r="K689" s="515"/>
      <c r="L689" s="267"/>
      <c r="M689" s="535"/>
      <c r="N689" s="266"/>
      <c r="R689" s="2575"/>
      <c r="S689" s="2575"/>
      <c r="T689" s="2575"/>
      <c r="U689" s="2575"/>
      <c r="V689" s="2575"/>
      <c r="W689" s="2575"/>
      <c r="X689" s="2575"/>
      <c r="Y689" s="2575"/>
      <c r="Z689" s="2575"/>
      <c r="AA689" s="2575"/>
      <c r="AB689" s="2575"/>
    </row>
    <row r="690" spans="1:28" s="165" customFormat="1" ht="14.25" customHeight="1">
      <c r="A690" s="513"/>
      <c r="B690" s="520" t="s">
        <v>83</v>
      </c>
      <c r="C690" s="215"/>
      <c r="D690" s="215"/>
      <c r="E690" s="215"/>
      <c r="F690" s="215"/>
      <c r="G690" s="219"/>
      <c r="H690" s="527"/>
      <c r="I690" s="532"/>
      <c r="J690" s="122"/>
      <c r="K690" s="122"/>
      <c r="L690" s="1288"/>
      <c r="M690" s="229"/>
      <c r="N690" s="219"/>
      <c r="R690" s="2575"/>
      <c r="S690" s="2575"/>
      <c r="T690" s="2575"/>
      <c r="U690" s="2575"/>
      <c r="V690" s="2575"/>
      <c r="W690" s="2575"/>
      <c r="X690" s="2575"/>
      <c r="Y690" s="2575"/>
      <c r="Z690" s="2575"/>
      <c r="AA690" s="2575"/>
      <c r="AB690" s="2575"/>
    </row>
    <row r="691" spans="1:28" s="165" customFormat="1" ht="14.25" customHeight="1">
      <c r="A691" s="194">
        <v>1</v>
      </c>
      <c r="B691" s="2265" t="s">
        <v>936</v>
      </c>
      <c r="C691" s="2266"/>
      <c r="D691" s="2266"/>
      <c r="E691" s="2266"/>
      <c r="F691" s="2266"/>
      <c r="G691" s="2267"/>
      <c r="H691" s="511"/>
      <c r="I691" s="532"/>
      <c r="J691" s="122"/>
      <c r="K691" s="122"/>
      <c r="L691" s="1288"/>
      <c r="M691" s="229"/>
      <c r="N691" s="219"/>
      <c r="R691" s="2575"/>
      <c r="S691" s="2575"/>
      <c r="T691" s="2575"/>
      <c r="U691" s="2575"/>
      <c r="V691" s="2575"/>
      <c r="W691" s="2575"/>
      <c r="X691" s="2575"/>
      <c r="Y691" s="2575"/>
      <c r="Z691" s="2575"/>
      <c r="AA691" s="2575"/>
      <c r="AB691" s="2575"/>
    </row>
    <row r="692" spans="1:28" s="165" customFormat="1" ht="14.25" customHeight="1">
      <c r="A692" s="514"/>
      <c r="B692" s="2265"/>
      <c r="C692" s="2266"/>
      <c r="D692" s="2266"/>
      <c r="E692" s="2266"/>
      <c r="F692" s="2266"/>
      <c r="G692" s="2267"/>
      <c r="H692" s="511">
        <v>1.2</v>
      </c>
      <c r="I692" s="532" t="s">
        <v>937</v>
      </c>
      <c r="J692" s="122">
        <f>J562</f>
        <v>1.46</v>
      </c>
      <c r="K692" s="122">
        <f>K562</f>
        <v>1.46</v>
      </c>
      <c r="L692" s="1288"/>
      <c r="M692" s="291">
        <f>J692+L692</f>
        <v>1.46</v>
      </c>
      <c r="N692" s="270">
        <f>K692+L692</f>
        <v>1.46</v>
      </c>
      <c r="R692" s="2575"/>
      <c r="S692" s="2575"/>
      <c r="T692" s="2575"/>
      <c r="U692" s="2575"/>
      <c r="V692" s="2575"/>
      <c r="W692" s="2575"/>
      <c r="X692" s="2575"/>
      <c r="Y692" s="2575"/>
      <c r="Z692" s="2575"/>
      <c r="AA692" s="2575"/>
      <c r="AB692" s="2575"/>
    </row>
    <row r="693" spans="1:28" s="165" customFormat="1" ht="14.25" customHeight="1">
      <c r="A693" s="514"/>
      <c r="B693" s="2265"/>
      <c r="C693" s="2266"/>
      <c r="D693" s="2266"/>
      <c r="E693" s="2266"/>
      <c r="F693" s="2266"/>
      <c r="G693" s="2267"/>
      <c r="H693" s="511"/>
      <c r="I693" s="532" t="s">
        <v>938</v>
      </c>
      <c r="J693" s="122"/>
      <c r="K693" s="122"/>
      <c r="L693" s="1288"/>
      <c r="M693" s="291"/>
      <c r="N693" s="219"/>
      <c r="R693" s="2575"/>
      <c r="S693" s="2575"/>
      <c r="T693" s="2575"/>
      <c r="U693" s="2575"/>
      <c r="V693" s="2575"/>
      <c r="W693" s="2575"/>
      <c r="X693" s="2575"/>
      <c r="Y693" s="2575"/>
      <c r="Z693" s="2575"/>
      <c r="AA693" s="2575"/>
      <c r="AB693" s="2575"/>
    </row>
    <row r="694" spans="1:28" s="165" customFormat="1" ht="14.25" customHeight="1">
      <c r="A694" s="514"/>
      <c r="B694" s="2265"/>
      <c r="C694" s="2266"/>
      <c r="D694" s="2266"/>
      <c r="E694" s="2266"/>
      <c r="F694" s="2266"/>
      <c r="G694" s="2267"/>
      <c r="H694" s="511"/>
      <c r="I694" s="532"/>
      <c r="J694" s="122"/>
      <c r="K694" s="122"/>
      <c r="L694" s="1288"/>
      <c r="M694" s="291"/>
      <c r="N694" s="219"/>
      <c r="R694" s="2575"/>
      <c r="S694" s="2575"/>
      <c r="T694" s="2575"/>
      <c r="U694" s="2575"/>
      <c r="V694" s="2575"/>
      <c r="W694" s="2575"/>
      <c r="X694" s="2575"/>
      <c r="Y694" s="2575"/>
      <c r="Z694" s="2575"/>
      <c r="AA694" s="2575"/>
      <c r="AB694" s="2575"/>
    </row>
    <row r="695" spans="1:28" s="165" customFormat="1" ht="14.25" customHeight="1">
      <c r="A695" s="514">
        <v>2</v>
      </c>
      <c r="B695" s="521" t="s">
        <v>875</v>
      </c>
      <c r="C695" s="207"/>
      <c r="D695" s="207"/>
      <c r="E695" s="207"/>
      <c r="F695" s="207"/>
      <c r="G695" s="208"/>
      <c r="H695" s="158">
        <v>1.4</v>
      </c>
      <c r="I695" s="532" t="s">
        <v>873</v>
      </c>
      <c r="J695" s="122">
        <f aca="true" t="shared" si="68" ref="J695:L696">J569</f>
        <v>1.63</v>
      </c>
      <c r="K695" s="122">
        <f t="shared" si="68"/>
        <v>1.63</v>
      </c>
      <c r="L695" s="1288">
        <f t="shared" si="68"/>
        <v>0.5331999999999999</v>
      </c>
      <c r="M695" s="291">
        <f>J695+L695</f>
        <v>2.1632</v>
      </c>
      <c r="N695" s="291">
        <f>K695+L695</f>
        <v>2.1632</v>
      </c>
      <c r="R695" s="2575"/>
      <c r="S695" s="2575"/>
      <c r="T695" s="2575"/>
      <c r="U695" s="2575"/>
      <c r="V695" s="2575"/>
      <c r="W695" s="2575"/>
      <c r="X695" s="2575"/>
      <c r="Y695" s="2575"/>
      <c r="Z695" s="2575"/>
      <c r="AA695" s="2575"/>
      <c r="AB695" s="2575"/>
    </row>
    <row r="696" spans="1:28" s="165" customFormat="1" ht="14.25" customHeight="1">
      <c r="A696" s="514">
        <v>3</v>
      </c>
      <c r="B696" s="2265" t="s">
        <v>941</v>
      </c>
      <c r="C696" s="2266"/>
      <c r="D696" s="2266"/>
      <c r="E696" s="2266"/>
      <c r="F696" s="2266"/>
      <c r="G696" s="2267"/>
      <c r="H696" s="158">
        <v>1.5</v>
      </c>
      <c r="I696" s="532" t="s">
        <v>873</v>
      </c>
      <c r="J696" s="122">
        <f t="shared" si="68"/>
        <v>0.97</v>
      </c>
      <c r="K696" s="122">
        <f t="shared" si="68"/>
        <v>0.97</v>
      </c>
      <c r="L696" s="1288">
        <f t="shared" si="68"/>
        <v>0.0826</v>
      </c>
      <c r="M696" s="291">
        <f>J696+L696</f>
        <v>1.0526</v>
      </c>
      <c r="N696" s="291">
        <f>K696+L696</f>
        <v>1.0526</v>
      </c>
      <c r="R696" s="2575"/>
      <c r="S696" s="2575"/>
      <c r="T696" s="2575"/>
      <c r="U696" s="2575"/>
      <c r="V696" s="2575"/>
      <c r="W696" s="2575"/>
      <c r="X696" s="2575"/>
      <c r="Y696" s="2575"/>
      <c r="Z696" s="2575"/>
      <c r="AA696" s="2575"/>
      <c r="AB696" s="2575"/>
    </row>
    <row r="697" spans="1:28" s="165" customFormat="1" ht="14.25" customHeight="1">
      <c r="A697" s="514"/>
      <c r="B697" s="2265"/>
      <c r="C697" s="2266"/>
      <c r="D697" s="2266"/>
      <c r="E697" s="2266"/>
      <c r="F697" s="2266"/>
      <c r="G697" s="2267"/>
      <c r="H697" s="158"/>
      <c r="I697" s="532"/>
      <c r="J697" s="122"/>
      <c r="K697" s="122"/>
      <c r="L697" s="1288"/>
      <c r="M697" s="291"/>
      <c r="N697" s="291"/>
      <c r="R697" s="2575"/>
      <c r="S697" s="2575"/>
      <c r="T697" s="2575"/>
      <c r="U697" s="2575"/>
      <c r="V697" s="2575"/>
      <c r="W697" s="2575"/>
      <c r="X697" s="2575"/>
      <c r="Y697" s="2575"/>
      <c r="Z697" s="2575"/>
      <c r="AA697" s="2575"/>
      <c r="AB697" s="2575"/>
    </row>
    <row r="698" spans="1:28" s="165" customFormat="1" ht="14.25" customHeight="1">
      <c r="A698" s="194">
        <v>4</v>
      </c>
      <c r="B698" s="521" t="s">
        <v>82</v>
      </c>
      <c r="C698" s="149"/>
      <c r="D698" s="149"/>
      <c r="E698" s="149"/>
      <c r="F698" s="149"/>
      <c r="G698" s="219"/>
      <c r="H698" s="158"/>
      <c r="I698" s="532"/>
      <c r="J698" s="219"/>
      <c r="K698" s="219"/>
      <c r="L698" s="1289"/>
      <c r="M698" s="509"/>
      <c r="N698" s="509"/>
      <c r="R698" s="2575"/>
      <c r="S698" s="2575"/>
      <c r="T698" s="2575"/>
      <c r="U698" s="2575"/>
      <c r="V698" s="2575"/>
      <c r="W698" s="2575"/>
      <c r="X698" s="2575"/>
      <c r="Y698" s="2575"/>
      <c r="Z698" s="2575"/>
      <c r="AA698" s="2575"/>
      <c r="AB698" s="2575"/>
    </row>
    <row r="699" spans="1:28" s="165" customFormat="1" ht="14.25" customHeight="1">
      <c r="A699" s="194"/>
      <c r="B699" s="521" t="s">
        <v>83</v>
      </c>
      <c r="C699" s="149"/>
      <c r="D699" s="149"/>
      <c r="E699" s="149"/>
      <c r="F699" s="149"/>
      <c r="G699" s="272" t="s">
        <v>51</v>
      </c>
      <c r="H699" s="528" t="s">
        <v>84</v>
      </c>
      <c r="I699" s="533" t="s">
        <v>945</v>
      </c>
      <c r="J699" s="239">
        <f>J633</f>
        <v>3.12</v>
      </c>
      <c r="K699" s="122" t="s">
        <v>622</v>
      </c>
      <c r="L699" s="1288">
        <f>L633</f>
        <v>3.272</v>
      </c>
      <c r="M699" s="291">
        <f>J699+L699</f>
        <v>6.3919999999999995</v>
      </c>
      <c r="N699" s="291" t="s">
        <v>622</v>
      </c>
      <c r="R699" s="2575"/>
      <c r="S699" s="2575"/>
      <c r="T699" s="2575"/>
      <c r="U699" s="2575"/>
      <c r="V699" s="2575"/>
      <c r="W699" s="2575"/>
      <c r="X699" s="2575"/>
      <c r="Y699" s="2575"/>
      <c r="Z699" s="2575"/>
      <c r="AA699" s="2575"/>
      <c r="AB699" s="2575"/>
    </row>
    <row r="700" spans="1:28" s="165" customFormat="1" ht="14.25" customHeight="1">
      <c r="A700" s="194"/>
      <c r="B700" s="522"/>
      <c r="C700" s="149"/>
      <c r="D700" s="149"/>
      <c r="E700" s="149"/>
      <c r="F700" s="149"/>
      <c r="G700" s="273" t="s">
        <v>52</v>
      </c>
      <c r="H700" s="528" t="s">
        <v>84</v>
      </c>
      <c r="I700" s="533" t="s">
        <v>945</v>
      </c>
      <c r="J700" s="239">
        <f>J634</f>
        <v>3.12</v>
      </c>
      <c r="K700" s="122" t="s">
        <v>622</v>
      </c>
      <c r="L700" s="1288">
        <f>L634</f>
        <v>3.441</v>
      </c>
      <c r="M700" s="291">
        <f>J700+L700</f>
        <v>6.561</v>
      </c>
      <c r="N700" s="291" t="s">
        <v>622</v>
      </c>
      <c r="R700" s="2575"/>
      <c r="S700" s="2575"/>
      <c r="T700" s="2575"/>
      <c r="U700" s="2575"/>
      <c r="V700" s="2575"/>
      <c r="W700" s="2575"/>
      <c r="X700" s="2575"/>
      <c r="Y700" s="2575"/>
      <c r="Z700" s="2575"/>
      <c r="AA700" s="2575"/>
      <c r="AB700" s="2575"/>
    </row>
    <row r="701" spans="1:28" s="165" customFormat="1" ht="14.25" customHeight="1">
      <c r="A701" s="194"/>
      <c r="B701" s="522"/>
      <c r="C701" s="149"/>
      <c r="D701" s="149"/>
      <c r="E701" s="149"/>
      <c r="F701" s="149"/>
      <c r="G701" s="273" t="s">
        <v>53</v>
      </c>
      <c r="H701" s="528" t="s">
        <v>84</v>
      </c>
      <c r="I701" s="533" t="s">
        <v>945</v>
      </c>
      <c r="J701" s="239">
        <f>J635</f>
        <v>3.12</v>
      </c>
      <c r="K701" s="122" t="s">
        <v>622</v>
      </c>
      <c r="L701" s="1288">
        <f>L635</f>
        <v>3.4372</v>
      </c>
      <c r="M701" s="291">
        <f>J701+L701</f>
        <v>6.5572</v>
      </c>
      <c r="N701" s="291" t="s">
        <v>622</v>
      </c>
      <c r="R701" s="2575"/>
      <c r="S701" s="2575"/>
      <c r="T701" s="2575"/>
      <c r="U701" s="2575"/>
      <c r="V701" s="2575"/>
      <c r="W701" s="2575"/>
      <c r="X701" s="2575"/>
      <c r="Y701" s="2575"/>
      <c r="Z701" s="2575"/>
      <c r="AA701" s="2575"/>
      <c r="AB701" s="2575"/>
    </row>
    <row r="702" spans="1:28" s="165" customFormat="1" ht="15.75">
      <c r="A702" s="194"/>
      <c r="B702" s="522"/>
      <c r="C702" s="149"/>
      <c r="D702" s="149"/>
      <c r="E702" s="149"/>
      <c r="F702" s="149"/>
      <c r="G702" s="273" t="s">
        <v>54</v>
      </c>
      <c r="H702" s="528" t="s">
        <v>84</v>
      </c>
      <c r="I702" s="533" t="s">
        <v>945</v>
      </c>
      <c r="J702" s="239">
        <f>J636</f>
        <v>3.12</v>
      </c>
      <c r="K702" s="122" t="s">
        <v>622</v>
      </c>
      <c r="L702" s="1288">
        <f>L636</f>
        <v>3.5332</v>
      </c>
      <c r="M702" s="291">
        <f>J702+L702</f>
        <v>6.6532</v>
      </c>
      <c r="N702" s="291" t="s">
        <v>622</v>
      </c>
      <c r="R702" s="2575"/>
      <c r="S702" s="2575"/>
      <c r="T702" s="2575"/>
      <c r="U702" s="2575"/>
      <c r="V702" s="2575"/>
      <c r="W702" s="2575"/>
      <c r="X702" s="2575"/>
      <c r="Y702" s="2575"/>
      <c r="Z702" s="2575"/>
      <c r="AA702" s="2575"/>
      <c r="AB702" s="2575"/>
    </row>
    <row r="703" spans="1:28" s="165" customFormat="1" ht="14.25" customHeight="1">
      <c r="A703" s="194"/>
      <c r="B703" s="522"/>
      <c r="C703" s="149"/>
      <c r="D703" s="149"/>
      <c r="E703" s="149"/>
      <c r="F703" s="149"/>
      <c r="G703" s="219"/>
      <c r="H703" s="158"/>
      <c r="I703" s="532"/>
      <c r="J703" s="219"/>
      <c r="K703" s="219"/>
      <c r="L703" s="1289"/>
      <c r="M703" s="509"/>
      <c r="N703" s="509"/>
      <c r="R703" s="2575"/>
      <c r="S703" s="2575"/>
      <c r="T703" s="2575"/>
      <c r="U703" s="2575"/>
      <c r="V703" s="2575"/>
      <c r="W703" s="2575"/>
      <c r="X703" s="2575"/>
      <c r="Y703" s="2575"/>
      <c r="Z703" s="2575"/>
      <c r="AA703" s="2575"/>
      <c r="AB703" s="2575"/>
    </row>
    <row r="704" spans="1:28" s="165" customFormat="1" ht="14.25" customHeight="1">
      <c r="A704" s="644"/>
      <c r="B704" s="645"/>
      <c r="C704" s="646"/>
      <c r="D704" s="647" t="s">
        <v>919</v>
      </c>
      <c r="E704" s="646"/>
      <c r="F704" s="646"/>
      <c r="G704" s="648" t="str">
        <f>G699</f>
        <v>ТТГ</v>
      </c>
      <c r="H704" s="649"/>
      <c r="I704" s="650"/>
      <c r="J704" s="651">
        <f>SUM(J692:J699)</f>
        <v>7.18</v>
      </c>
      <c r="K704" s="651" t="s">
        <v>622</v>
      </c>
      <c r="L704" s="1290">
        <f>SUM(L692:L699)</f>
        <v>3.8877999999999995</v>
      </c>
      <c r="M704" s="652">
        <f>SUM(M692:M699)</f>
        <v>11.067799999999998</v>
      </c>
      <c r="N704" s="652" t="s">
        <v>622</v>
      </c>
      <c r="R704" s="2575"/>
      <c r="S704" s="2575"/>
      <c r="T704" s="2575"/>
      <c r="U704" s="2575"/>
      <c r="V704" s="2575"/>
      <c r="W704" s="2575"/>
      <c r="X704" s="2575"/>
      <c r="Y704" s="2575"/>
      <c r="Z704" s="2575"/>
      <c r="AA704" s="2575"/>
      <c r="AB704" s="2575"/>
    </row>
    <row r="705" spans="1:28" s="165" customFormat="1" ht="14.25" customHeight="1">
      <c r="A705" s="644"/>
      <c r="B705" s="645"/>
      <c r="C705" s="646"/>
      <c r="D705" s="646"/>
      <c r="E705" s="646"/>
      <c r="F705" s="646"/>
      <c r="G705" s="648" t="str">
        <f>G700</f>
        <v>Т4</v>
      </c>
      <c r="H705" s="649"/>
      <c r="I705" s="650"/>
      <c r="J705" s="651">
        <f>SUM(J692:J700)-J699</f>
        <v>7.180000000000001</v>
      </c>
      <c r="K705" s="651" t="s">
        <v>622</v>
      </c>
      <c r="L705" s="1290">
        <f>SUM(L692:L700)-L699</f>
        <v>4.056799999999999</v>
      </c>
      <c r="M705" s="652">
        <f>SUM(M692:M700)-M699</f>
        <v>11.236799999999999</v>
      </c>
      <c r="N705" s="652" t="s">
        <v>622</v>
      </c>
      <c r="R705" s="2575"/>
      <c r="S705" s="2575"/>
      <c r="T705" s="2575"/>
      <c r="U705" s="2575"/>
      <c r="V705" s="2575"/>
      <c r="W705" s="2575"/>
      <c r="X705" s="2575"/>
      <c r="Y705" s="2575"/>
      <c r="Z705" s="2575"/>
      <c r="AA705" s="2575"/>
      <c r="AB705" s="2575"/>
    </row>
    <row r="706" spans="1:28" s="165" customFormat="1" ht="14.25" customHeight="1">
      <c r="A706" s="1050"/>
      <c r="B706" s="1051"/>
      <c r="C706" s="1052"/>
      <c r="D706" s="1052"/>
      <c r="E706" s="1052"/>
      <c r="F706" s="1052"/>
      <c r="G706" s="1053" t="str">
        <f>G701</f>
        <v>Анти-ТПО</v>
      </c>
      <c r="H706" s="1054"/>
      <c r="I706" s="1055"/>
      <c r="J706" s="1056">
        <f>SUM(J692:J701)-J699-J700</f>
        <v>7.180000000000001</v>
      </c>
      <c r="K706" s="1056" t="s">
        <v>622</v>
      </c>
      <c r="L706" s="1308">
        <f>SUM(L692:L701)-L699-L700</f>
        <v>4.052999999999998</v>
      </c>
      <c r="M706" s="1057">
        <f>SUM(M692:M701)-M699-M700</f>
        <v>11.233</v>
      </c>
      <c r="N706" s="1057" t="s">
        <v>622</v>
      </c>
      <c r="R706" s="2575"/>
      <c r="S706" s="2575"/>
      <c r="T706" s="2575"/>
      <c r="U706" s="2575"/>
      <c r="V706" s="2575"/>
      <c r="W706" s="2575"/>
      <c r="X706" s="2575"/>
      <c r="Y706" s="2575"/>
      <c r="Z706" s="2575"/>
      <c r="AA706" s="2575"/>
      <c r="AB706" s="2575"/>
    </row>
    <row r="707" spans="1:28" s="165" customFormat="1" ht="15.75">
      <c r="A707" s="190"/>
      <c r="B707" s="523"/>
      <c r="C707" s="278"/>
      <c r="D707" s="278"/>
      <c r="E707" s="278"/>
      <c r="F707" s="278"/>
      <c r="G707" s="279" t="str">
        <f>G702</f>
        <v>Сифилис</v>
      </c>
      <c r="H707" s="529"/>
      <c r="I707" s="234"/>
      <c r="J707" s="293">
        <f>SUM(J692:J702)-J699-J700-J701</f>
        <v>7.180000000000001</v>
      </c>
      <c r="K707" s="293" t="s">
        <v>622</v>
      </c>
      <c r="L707" s="1291">
        <f>SUM(L692:L702)-L699-L700-L701</f>
        <v>4.148999999999999</v>
      </c>
      <c r="M707" s="248">
        <f>SUM(M692:M702)-M699-M700-M701</f>
        <v>11.328999999999999</v>
      </c>
      <c r="N707" s="248" t="s">
        <v>622</v>
      </c>
      <c r="R707" s="2575"/>
      <c r="S707" s="2575"/>
      <c r="T707" s="2575"/>
      <c r="U707" s="2575"/>
      <c r="V707" s="2575"/>
      <c r="W707" s="2575"/>
      <c r="X707" s="2575"/>
      <c r="Y707" s="2575"/>
      <c r="Z707" s="2575"/>
      <c r="AA707" s="2575"/>
      <c r="AB707" s="2575"/>
    </row>
    <row r="708" spans="1:28" s="165" customFormat="1" ht="14.25" customHeight="1">
      <c r="A708" s="194"/>
      <c r="B708" s="522"/>
      <c r="C708" s="149"/>
      <c r="D708" s="149"/>
      <c r="E708" s="149"/>
      <c r="F708" s="149"/>
      <c r="G708" s="277"/>
      <c r="H708" s="158"/>
      <c r="I708" s="121"/>
      <c r="J708" s="209"/>
      <c r="K708" s="209"/>
      <c r="L708" s="1292"/>
      <c r="M708" s="229"/>
      <c r="N708" s="229"/>
      <c r="R708" s="2575"/>
      <c r="S708" s="2575"/>
      <c r="T708" s="2575"/>
      <c r="U708" s="2575"/>
      <c r="V708" s="2575"/>
      <c r="W708" s="2575"/>
      <c r="X708" s="2575"/>
      <c r="Y708" s="2575"/>
      <c r="Z708" s="2575"/>
      <c r="AA708" s="2575"/>
      <c r="AB708" s="2575"/>
    </row>
    <row r="709" spans="1:28" s="165" customFormat="1" ht="14.25" customHeight="1">
      <c r="A709" s="513">
        <v>2</v>
      </c>
      <c r="B709" s="2371" t="s">
        <v>85</v>
      </c>
      <c r="C709" s="2355"/>
      <c r="D709" s="2355"/>
      <c r="E709" s="2355"/>
      <c r="F709" s="2355"/>
      <c r="G709" s="2372"/>
      <c r="H709" s="530"/>
      <c r="I709" s="121"/>
      <c r="J709" s="219"/>
      <c r="K709" s="219"/>
      <c r="L709" s="1289"/>
      <c r="M709" s="509"/>
      <c r="N709" s="509"/>
      <c r="R709" s="2575"/>
      <c r="S709" s="2575"/>
      <c r="T709" s="2575"/>
      <c r="U709" s="2575"/>
      <c r="V709" s="2575"/>
      <c r="W709" s="2575"/>
      <c r="X709" s="2575"/>
      <c r="Y709" s="2575"/>
      <c r="Z709" s="2575"/>
      <c r="AA709" s="2575"/>
      <c r="AB709" s="2575"/>
    </row>
    <row r="710" spans="1:28" s="165" customFormat="1" ht="14.25" customHeight="1">
      <c r="A710" s="194"/>
      <c r="B710" s="2371"/>
      <c r="C710" s="2355"/>
      <c r="D710" s="2355"/>
      <c r="E710" s="2355"/>
      <c r="F710" s="2355"/>
      <c r="G710" s="2372"/>
      <c r="H710" s="530"/>
      <c r="I710" s="121"/>
      <c r="J710" s="219"/>
      <c r="K710" s="219"/>
      <c r="L710" s="1289"/>
      <c r="M710" s="509"/>
      <c r="N710" s="509"/>
      <c r="R710" s="2575"/>
      <c r="S710" s="2575"/>
      <c r="T710" s="2575"/>
      <c r="U710" s="2575"/>
      <c r="V710" s="2575"/>
      <c r="W710" s="2575"/>
      <c r="X710" s="2575"/>
      <c r="Y710" s="2575"/>
      <c r="Z710" s="2575"/>
      <c r="AA710" s="2575"/>
      <c r="AB710" s="2575"/>
    </row>
    <row r="711" spans="1:28" s="165" customFormat="1" ht="14.25" customHeight="1">
      <c r="A711" s="194">
        <v>1</v>
      </c>
      <c r="B711" s="2265" t="s">
        <v>936</v>
      </c>
      <c r="C711" s="2266"/>
      <c r="D711" s="2266"/>
      <c r="E711" s="2266"/>
      <c r="F711" s="2266"/>
      <c r="G711" s="2267"/>
      <c r="H711" s="511"/>
      <c r="I711" s="532"/>
      <c r="J711" s="122"/>
      <c r="K711" s="122"/>
      <c r="L711" s="1288"/>
      <c r="M711" s="229"/>
      <c r="N711" s="509"/>
      <c r="R711" s="2575"/>
      <c r="S711" s="2575"/>
      <c r="T711" s="2575"/>
      <c r="U711" s="2575"/>
      <c r="V711" s="2575"/>
      <c r="W711" s="2575"/>
      <c r="X711" s="2575"/>
      <c r="Y711" s="2575"/>
      <c r="Z711" s="2575"/>
      <c r="AA711" s="2575"/>
      <c r="AB711" s="2575"/>
    </row>
    <row r="712" spans="1:28" s="165" customFormat="1" ht="14.25" customHeight="1">
      <c r="A712" s="514"/>
      <c r="B712" s="2265"/>
      <c r="C712" s="2266"/>
      <c r="D712" s="2266"/>
      <c r="E712" s="2266"/>
      <c r="F712" s="2266"/>
      <c r="G712" s="2267"/>
      <c r="H712" s="511">
        <v>1.2</v>
      </c>
      <c r="I712" s="532" t="s">
        <v>937</v>
      </c>
      <c r="J712" s="122">
        <f>J692</f>
        <v>1.46</v>
      </c>
      <c r="K712" s="122">
        <f>K692</f>
        <v>1.46</v>
      </c>
      <c r="L712" s="1288"/>
      <c r="M712" s="291">
        <f>J712+L712</f>
        <v>1.46</v>
      </c>
      <c r="N712" s="291">
        <f>K712+L712</f>
        <v>1.46</v>
      </c>
      <c r="R712" s="2575"/>
      <c r="S712" s="2575"/>
      <c r="T712" s="2575"/>
      <c r="U712" s="2575"/>
      <c r="V712" s="2575"/>
      <c r="W712" s="2575"/>
      <c r="X712" s="2575"/>
      <c r="Y712" s="2575"/>
      <c r="Z712" s="2575"/>
      <c r="AA712" s="2575"/>
      <c r="AB712" s="2575"/>
    </row>
    <row r="713" spans="1:28" s="165" customFormat="1" ht="14.25" customHeight="1">
      <c r="A713" s="514"/>
      <c r="B713" s="2265"/>
      <c r="C713" s="2266"/>
      <c r="D713" s="2266"/>
      <c r="E713" s="2266"/>
      <c r="F713" s="2266"/>
      <c r="G713" s="2267"/>
      <c r="H713" s="511"/>
      <c r="I713" s="532" t="s">
        <v>938</v>
      </c>
      <c r="J713" s="122"/>
      <c r="K713" s="122"/>
      <c r="L713" s="1288"/>
      <c r="M713" s="291"/>
      <c r="N713" s="509"/>
      <c r="R713" s="2575"/>
      <c r="S713" s="2575"/>
      <c r="T713" s="2575"/>
      <c r="U713" s="2575"/>
      <c r="V713" s="2575"/>
      <c r="W713" s="2575"/>
      <c r="X713" s="2575"/>
      <c r="Y713" s="2575"/>
      <c r="Z713" s="2575"/>
      <c r="AA713" s="2575"/>
      <c r="AB713" s="2575"/>
    </row>
    <row r="714" spans="1:28" s="165" customFormat="1" ht="14.25" customHeight="1">
      <c r="A714" s="514"/>
      <c r="B714" s="2265"/>
      <c r="C714" s="2266"/>
      <c r="D714" s="2266"/>
      <c r="E714" s="2266"/>
      <c r="F714" s="2266"/>
      <c r="G714" s="2267"/>
      <c r="H714" s="511"/>
      <c r="I714" s="532"/>
      <c r="J714" s="122"/>
      <c r="K714" s="122"/>
      <c r="L714" s="1288"/>
      <c r="M714" s="291"/>
      <c r="N714" s="509"/>
      <c r="R714" s="2575"/>
      <c r="S714" s="2575"/>
      <c r="T714" s="2575"/>
      <c r="U714" s="2575"/>
      <c r="V714" s="2575"/>
      <c r="W714" s="2575"/>
      <c r="X714" s="2575"/>
      <c r="Y714" s="2575"/>
      <c r="Z714" s="2575"/>
      <c r="AA714" s="2575"/>
      <c r="AB714" s="2575"/>
    </row>
    <row r="715" spans="1:28" s="165" customFormat="1" ht="14.25" customHeight="1">
      <c r="A715" s="514">
        <v>2</v>
      </c>
      <c r="B715" s="521" t="s">
        <v>875</v>
      </c>
      <c r="C715" s="207"/>
      <c r="D715" s="207"/>
      <c r="E715" s="207"/>
      <c r="F715" s="207"/>
      <c r="G715" s="208"/>
      <c r="H715" s="158">
        <v>1.4</v>
      </c>
      <c r="I715" s="532" t="s">
        <v>873</v>
      </c>
      <c r="J715" s="122">
        <f aca="true" t="shared" si="69" ref="J715:L716">J695</f>
        <v>1.63</v>
      </c>
      <c r="K715" s="122">
        <f t="shared" si="69"/>
        <v>1.63</v>
      </c>
      <c r="L715" s="1288">
        <f t="shared" si="69"/>
        <v>0.5331999999999999</v>
      </c>
      <c r="M715" s="291">
        <f>J715+L715</f>
        <v>2.1632</v>
      </c>
      <c r="N715" s="291">
        <f>K715+L715</f>
        <v>2.1632</v>
      </c>
      <c r="R715" s="2575"/>
      <c r="S715" s="2575"/>
      <c r="T715" s="2575"/>
      <c r="U715" s="2575"/>
      <c r="V715" s="2575"/>
      <c r="W715" s="2575"/>
      <c r="X715" s="2575"/>
      <c r="Y715" s="2575"/>
      <c r="Z715" s="2575"/>
      <c r="AA715" s="2575"/>
      <c r="AB715" s="2575"/>
    </row>
    <row r="716" spans="1:28" s="165" customFormat="1" ht="14.25" customHeight="1">
      <c r="A716" s="514">
        <v>3</v>
      </c>
      <c r="B716" s="2265" t="s">
        <v>941</v>
      </c>
      <c r="C716" s="2266"/>
      <c r="D716" s="2266"/>
      <c r="E716" s="2266"/>
      <c r="F716" s="2266"/>
      <c r="G716" s="2267"/>
      <c r="H716" s="158">
        <v>1.5</v>
      </c>
      <c r="I716" s="532" t="s">
        <v>873</v>
      </c>
      <c r="J716" s="122">
        <f t="shared" si="69"/>
        <v>0.97</v>
      </c>
      <c r="K716" s="122">
        <f t="shared" si="69"/>
        <v>0.97</v>
      </c>
      <c r="L716" s="1288">
        <f t="shared" si="69"/>
        <v>0.0826</v>
      </c>
      <c r="M716" s="291">
        <f>J716+L716</f>
        <v>1.0526</v>
      </c>
      <c r="N716" s="291">
        <f>K716+L716</f>
        <v>1.0526</v>
      </c>
      <c r="R716" s="2575"/>
      <c r="S716" s="2575"/>
      <c r="T716" s="2575"/>
      <c r="U716" s="2575"/>
      <c r="V716" s="2575"/>
      <c r="W716" s="2575"/>
      <c r="X716" s="2575"/>
      <c r="Y716" s="2575"/>
      <c r="Z716" s="2575"/>
      <c r="AA716" s="2575"/>
      <c r="AB716" s="2575"/>
    </row>
    <row r="717" spans="1:28" s="165" customFormat="1" ht="14.25" customHeight="1">
      <c r="A717" s="514"/>
      <c r="B717" s="2265"/>
      <c r="C717" s="2266"/>
      <c r="D717" s="2266"/>
      <c r="E717" s="2266"/>
      <c r="F717" s="2266"/>
      <c r="G717" s="2267"/>
      <c r="H717" s="158"/>
      <c r="I717" s="532"/>
      <c r="J717" s="122"/>
      <c r="K717" s="122"/>
      <c r="L717" s="1288"/>
      <c r="M717" s="291"/>
      <c r="N717" s="291"/>
      <c r="R717" s="2575"/>
      <c r="S717" s="2575"/>
      <c r="T717" s="2575"/>
      <c r="U717" s="2575"/>
      <c r="V717" s="2575"/>
      <c r="W717" s="2575"/>
      <c r="X717" s="2575"/>
      <c r="Y717" s="2575"/>
      <c r="Z717" s="2575"/>
      <c r="AA717" s="2575"/>
      <c r="AB717" s="2575"/>
    </row>
    <row r="718" spans="1:28" s="165" customFormat="1" ht="14.25" customHeight="1">
      <c r="A718" s="514"/>
      <c r="B718" s="2265" t="s">
        <v>86</v>
      </c>
      <c r="C718" s="2266"/>
      <c r="D718" s="2266"/>
      <c r="E718" s="2266"/>
      <c r="F718" s="2266"/>
      <c r="G718" s="198"/>
      <c r="H718" s="158"/>
      <c r="I718" s="532"/>
      <c r="J718" s="122"/>
      <c r="K718" s="122"/>
      <c r="L718" s="1288"/>
      <c r="M718" s="291"/>
      <c r="N718" s="291"/>
      <c r="R718" s="2575"/>
      <c r="S718" s="2575"/>
      <c r="T718" s="2575"/>
      <c r="U718" s="2575"/>
      <c r="V718" s="2575"/>
      <c r="W718" s="2575"/>
      <c r="X718" s="2575"/>
      <c r="Y718" s="2575"/>
      <c r="Z718" s="2575"/>
      <c r="AA718" s="2575"/>
      <c r="AB718" s="2575"/>
    </row>
    <row r="719" spans="1:28" s="165" customFormat="1" ht="14.25" customHeight="1">
      <c r="A719" s="194">
        <v>4</v>
      </c>
      <c r="B719" s="2265"/>
      <c r="C719" s="2266"/>
      <c r="D719" s="2266"/>
      <c r="E719" s="2266"/>
      <c r="F719" s="2266"/>
      <c r="G719" s="510" t="s">
        <v>156</v>
      </c>
      <c r="H719" s="528" t="s">
        <v>87</v>
      </c>
      <c r="I719" s="533" t="s">
        <v>945</v>
      </c>
      <c r="J719" s="239">
        <f aca="true" t="shared" si="70" ref="J719:L721">J638</f>
        <v>6.52</v>
      </c>
      <c r="K719" s="239">
        <f t="shared" si="70"/>
        <v>2.28</v>
      </c>
      <c r="L719" s="1288">
        <f t="shared" si="70"/>
        <v>3.343</v>
      </c>
      <c r="M719" s="291">
        <f>J719+L719</f>
        <v>9.863</v>
      </c>
      <c r="N719" s="291">
        <f>K719+L719</f>
        <v>5.622999999999999</v>
      </c>
      <c r="R719" s="2575"/>
      <c r="S719" s="2575"/>
      <c r="T719" s="2575"/>
      <c r="U719" s="2575"/>
      <c r="V719" s="2575"/>
      <c r="W719" s="2575"/>
      <c r="X719" s="2575"/>
      <c r="Y719" s="2575"/>
      <c r="Z719" s="2575"/>
      <c r="AA719" s="2575"/>
      <c r="AB719" s="2575"/>
    </row>
    <row r="720" spans="1:28" s="165" customFormat="1" ht="14.25" customHeight="1">
      <c r="A720" s="194"/>
      <c r="B720" s="282"/>
      <c r="C720" s="242"/>
      <c r="D720" s="242"/>
      <c r="E720" s="242"/>
      <c r="F720" s="242"/>
      <c r="G720" s="510" t="s">
        <v>157</v>
      </c>
      <c r="H720" s="511"/>
      <c r="I720" s="121"/>
      <c r="J720" s="239">
        <f t="shared" si="70"/>
        <v>6.52</v>
      </c>
      <c r="K720" s="239">
        <f t="shared" si="70"/>
        <v>2.28</v>
      </c>
      <c r="L720" s="1288">
        <f t="shared" si="70"/>
        <v>9.8866</v>
      </c>
      <c r="M720" s="291">
        <f>J720+L720</f>
        <v>16.406599999999997</v>
      </c>
      <c r="N720" s="291">
        <f>K720+L720</f>
        <v>12.166599999999999</v>
      </c>
      <c r="R720" s="2575"/>
      <c r="S720" s="2575"/>
      <c r="T720" s="2575"/>
      <c r="U720" s="2575"/>
      <c r="V720" s="2575"/>
      <c r="W720" s="2575"/>
      <c r="X720" s="2575"/>
      <c r="Y720" s="2575"/>
      <c r="Z720" s="2575"/>
      <c r="AA720" s="2575"/>
      <c r="AB720" s="2575"/>
    </row>
    <row r="721" spans="1:28" s="165" customFormat="1" ht="14.25" customHeight="1">
      <c r="A721" s="194"/>
      <c r="B721" s="282"/>
      <c r="C721" s="242"/>
      <c r="D721" s="242"/>
      <c r="E721" s="242"/>
      <c r="F721" s="2351" t="str">
        <f>G640</f>
        <v>СА 19-9</v>
      </c>
      <c r="G721" s="2352"/>
      <c r="H721" s="511"/>
      <c r="I721" s="121"/>
      <c r="J721" s="239">
        <f t="shared" si="70"/>
        <v>6.52</v>
      </c>
      <c r="K721" s="239">
        <f t="shared" si="70"/>
        <v>2.28</v>
      </c>
      <c r="L721" s="1288">
        <f t="shared" si="70"/>
        <v>11.5797</v>
      </c>
      <c r="M721" s="291">
        <f>J721+L721</f>
        <v>18.0997</v>
      </c>
      <c r="N721" s="291">
        <f>K721+L721</f>
        <v>13.8597</v>
      </c>
      <c r="R721" s="2575"/>
      <c r="S721" s="2575"/>
      <c r="T721" s="2575"/>
      <c r="U721" s="2575"/>
      <c r="V721" s="2575"/>
      <c r="W721" s="2575"/>
      <c r="X721" s="2575"/>
      <c r="Y721" s="2575"/>
      <c r="Z721" s="2575"/>
      <c r="AA721" s="2575"/>
      <c r="AB721" s="2575"/>
    </row>
    <row r="722" spans="1:28" s="165" customFormat="1" ht="14.25" customHeight="1">
      <c r="A722" s="194"/>
      <c r="B722" s="196"/>
      <c r="C722" s="197"/>
      <c r="D722" s="197"/>
      <c r="E722" s="197"/>
      <c r="F722" s="197"/>
      <c r="G722" s="198"/>
      <c r="H722" s="511"/>
      <c r="I722" s="121"/>
      <c r="J722" s="219"/>
      <c r="K722" s="219"/>
      <c r="L722" s="1289"/>
      <c r="M722" s="509"/>
      <c r="N722" s="509"/>
      <c r="R722" s="2575"/>
      <c r="S722" s="2575"/>
      <c r="T722" s="2575"/>
      <c r="U722" s="2575"/>
      <c r="V722" s="2575"/>
      <c r="W722" s="2575"/>
      <c r="X722" s="2575"/>
      <c r="Y722" s="2575"/>
      <c r="Z722" s="2575"/>
      <c r="AA722" s="2575"/>
      <c r="AB722" s="2575"/>
    </row>
    <row r="723" spans="1:28" s="165" customFormat="1" ht="14.25" customHeight="1">
      <c r="A723" s="194"/>
      <c r="B723" s="524"/>
      <c r="C723" s="243"/>
      <c r="D723" s="274" t="s">
        <v>919</v>
      </c>
      <c r="E723" s="197"/>
      <c r="F723" s="2299" t="s">
        <v>156</v>
      </c>
      <c r="G723" s="2300"/>
      <c r="H723" s="511"/>
      <c r="I723" s="121"/>
      <c r="J723" s="270">
        <f>SUM(J712:J719)</f>
        <v>10.579999999999998</v>
      </c>
      <c r="K723" s="270">
        <f>SUM(K712:K719)</f>
        <v>6.34</v>
      </c>
      <c r="L723" s="1293">
        <f>SUM(L712:L719)</f>
        <v>3.9588</v>
      </c>
      <c r="M723" s="229">
        <f>SUM(M712:M719)</f>
        <v>14.538799999999998</v>
      </c>
      <c r="N723" s="229">
        <f>SUM(N712:N719)</f>
        <v>10.2988</v>
      </c>
      <c r="R723" s="2575"/>
      <c r="S723" s="2575"/>
      <c r="T723" s="2575"/>
      <c r="U723" s="2575"/>
      <c r="V723" s="2575"/>
      <c r="W723" s="2575"/>
      <c r="X723" s="2575"/>
      <c r="Y723" s="2575"/>
      <c r="Z723" s="2575"/>
      <c r="AA723" s="2575"/>
      <c r="AB723" s="2575"/>
    </row>
    <row r="724" spans="1:28" s="165" customFormat="1" ht="14.25" customHeight="1">
      <c r="A724" s="194"/>
      <c r="B724" s="524"/>
      <c r="C724" s="243"/>
      <c r="D724" s="274"/>
      <c r="E724" s="197"/>
      <c r="F724" s="2299" t="s">
        <v>157</v>
      </c>
      <c r="G724" s="2300"/>
      <c r="H724" s="511"/>
      <c r="I724" s="121"/>
      <c r="J724" s="291">
        <f>SUM(J712:J720)-J719</f>
        <v>10.579999999999998</v>
      </c>
      <c r="K724" s="291">
        <f>SUM(K712:K720)-K719</f>
        <v>6.34</v>
      </c>
      <c r="L724" s="1293">
        <f>SUM(L712:L720)-L719</f>
        <v>10.5024</v>
      </c>
      <c r="M724" s="229">
        <f>SUM(M712:M720)-M719</f>
        <v>21.082399999999996</v>
      </c>
      <c r="N724" s="229">
        <f>SUM(N712:N720)-N719</f>
        <v>16.842399999999998</v>
      </c>
      <c r="R724" s="2575"/>
      <c r="S724" s="2575"/>
      <c r="T724" s="2575"/>
      <c r="U724" s="2575"/>
      <c r="V724" s="2575"/>
      <c r="W724" s="2575"/>
      <c r="X724" s="2575"/>
      <c r="Y724" s="2575"/>
      <c r="Z724" s="2575"/>
      <c r="AA724" s="2575"/>
      <c r="AB724" s="2575"/>
    </row>
    <row r="725" spans="1:28" s="165" customFormat="1" ht="14.25" customHeight="1">
      <c r="A725" s="194"/>
      <c r="B725" s="524"/>
      <c r="C725" s="243"/>
      <c r="D725" s="274"/>
      <c r="E725" s="197"/>
      <c r="F725" s="2299" t="str">
        <f>G640</f>
        <v>СА 19-9</v>
      </c>
      <c r="G725" s="2300"/>
      <c r="H725" s="511"/>
      <c r="I725" s="121"/>
      <c r="J725" s="291">
        <f>SUM(J712:J717)+J721</f>
        <v>10.579999999999998</v>
      </c>
      <c r="K725" s="291">
        <f>SUM(K712:K717)+K721</f>
        <v>6.34</v>
      </c>
      <c r="L725" s="1293">
        <f>SUM(L712:L717)+L721</f>
        <v>12.195500000000001</v>
      </c>
      <c r="M725" s="229">
        <f>SUM(M712:M717)+M721</f>
        <v>22.775499999999997</v>
      </c>
      <c r="N725" s="229">
        <f>SUM(N712:N717)+N721</f>
        <v>18.5355</v>
      </c>
      <c r="R725" s="2575"/>
      <c r="S725" s="2575"/>
      <c r="T725" s="2575"/>
      <c r="U725" s="2575"/>
      <c r="V725" s="2575"/>
      <c r="W725" s="2575"/>
      <c r="X725" s="2575"/>
      <c r="Y725" s="2575"/>
      <c r="Z725" s="2575"/>
      <c r="AA725" s="2575"/>
      <c r="AB725" s="2575"/>
    </row>
    <row r="726" spans="1:28" s="165" customFormat="1" ht="14.25" customHeight="1">
      <c r="A726" s="194"/>
      <c r="B726" s="524"/>
      <c r="C726" s="243"/>
      <c r="D726" s="274"/>
      <c r="E726" s="197"/>
      <c r="F726" s="508"/>
      <c r="G726" s="240"/>
      <c r="H726" s="511"/>
      <c r="I726" s="121"/>
      <c r="J726" s="291"/>
      <c r="K726" s="291"/>
      <c r="L726" s="1293"/>
      <c r="M726" s="229"/>
      <c r="N726" s="229"/>
      <c r="R726" s="2575"/>
      <c r="S726" s="2575"/>
      <c r="T726" s="2575"/>
      <c r="U726" s="2575"/>
      <c r="V726" s="2575"/>
      <c r="W726" s="2575"/>
      <c r="X726" s="2575"/>
      <c r="Y726" s="2575"/>
      <c r="Z726" s="2575"/>
      <c r="AA726" s="2575"/>
      <c r="AB726" s="2575"/>
    </row>
    <row r="727" spans="1:28" s="165" customFormat="1" ht="14.25" customHeight="1">
      <c r="A727" s="513">
        <v>3</v>
      </c>
      <c r="B727" s="525" t="s">
        <v>88</v>
      </c>
      <c r="C727" s="243"/>
      <c r="D727" s="243"/>
      <c r="E727" s="197"/>
      <c r="F727" s="197"/>
      <c r="G727" s="198"/>
      <c r="H727" s="511"/>
      <c r="I727" s="121"/>
      <c r="J727" s="219"/>
      <c r="K727" s="219"/>
      <c r="L727" s="1289"/>
      <c r="M727" s="509"/>
      <c r="N727" s="509"/>
      <c r="R727" s="2575"/>
      <c r="S727" s="2575"/>
      <c r="T727" s="2575"/>
      <c r="U727" s="2575"/>
      <c r="V727" s="2575"/>
      <c r="W727" s="2575"/>
      <c r="X727" s="2575"/>
      <c r="Y727" s="2575"/>
      <c r="Z727" s="2575"/>
      <c r="AA727" s="2575"/>
      <c r="AB727" s="2575"/>
    </row>
    <row r="728" spans="1:28" s="165" customFormat="1" ht="14.25" customHeight="1">
      <c r="A728" s="194">
        <v>1</v>
      </c>
      <c r="B728" s="2265" t="s">
        <v>936</v>
      </c>
      <c r="C728" s="2266"/>
      <c r="D728" s="2266"/>
      <c r="E728" s="2266"/>
      <c r="F728" s="2266"/>
      <c r="G728" s="2267"/>
      <c r="H728" s="511"/>
      <c r="I728" s="532"/>
      <c r="J728" s="122"/>
      <c r="K728" s="122"/>
      <c r="L728" s="1288"/>
      <c r="M728" s="229"/>
      <c r="N728" s="509"/>
      <c r="R728" s="2575"/>
      <c r="S728" s="2575"/>
      <c r="T728" s="2575"/>
      <c r="U728" s="2575"/>
      <c r="V728" s="2575"/>
      <c r="W728" s="2575"/>
      <c r="X728" s="2575"/>
      <c r="Y728" s="2575"/>
      <c r="Z728" s="2575"/>
      <c r="AA728" s="2575"/>
      <c r="AB728" s="2575"/>
    </row>
    <row r="729" spans="1:28" s="165" customFormat="1" ht="14.25" customHeight="1">
      <c r="A729" s="194"/>
      <c r="B729" s="2265"/>
      <c r="C729" s="2266"/>
      <c r="D729" s="2266"/>
      <c r="E729" s="2266"/>
      <c r="F729" s="2266"/>
      <c r="G729" s="2267"/>
      <c r="H729" s="511">
        <v>1.2</v>
      </c>
      <c r="I729" s="532" t="s">
        <v>937</v>
      </c>
      <c r="J729" s="122">
        <f>J562</f>
        <v>1.46</v>
      </c>
      <c r="K729" s="122">
        <f>K562</f>
        <v>1.46</v>
      </c>
      <c r="L729" s="1288"/>
      <c r="M729" s="291">
        <f>J729+L729</f>
        <v>1.46</v>
      </c>
      <c r="N729" s="291">
        <f>K729+L729</f>
        <v>1.46</v>
      </c>
      <c r="R729" s="2575"/>
      <c r="S729" s="2575"/>
      <c r="T729" s="2575"/>
      <c r="U729" s="2575"/>
      <c r="V729" s="2575"/>
      <c r="W729" s="2575"/>
      <c r="X729" s="2575"/>
      <c r="Y729" s="2575"/>
      <c r="Z729" s="2575"/>
      <c r="AA729" s="2575"/>
      <c r="AB729" s="2575"/>
    </row>
    <row r="730" spans="1:28" s="165" customFormat="1" ht="14.25" customHeight="1">
      <c r="A730" s="194"/>
      <c r="B730" s="2265"/>
      <c r="C730" s="2266"/>
      <c r="D730" s="2266"/>
      <c r="E730" s="2266"/>
      <c r="F730" s="2266"/>
      <c r="G730" s="2267"/>
      <c r="H730" s="511"/>
      <c r="I730" s="532" t="s">
        <v>938</v>
      </c>
      <c r="J730" s="122"/>
      <c r="K730" s="122"/>
      <c r="L730" s="1288"/>
      <c r="M730" s="291"/>
      <c r="N730" s="509"/>
      <c r="R730" s="2575"/>
      <c r="S730" s="2575"/>
      <c r="T730" s="2575"/>
      <c r="U730" s="2575"/>
      <c r="V730" s="2575"/>
      <c r="W730" s="2575"/>
      <c r="X730" s="2575"/>
      <c r="Y730" s="2575"/>
      <c r="Z730" s="2575"/>
      <c r="AA730" s="2575"/>
      <c r="AB730" s="2575"/>
    </row>
    <row r="731" spans="1:28" s="165" customFormat="1" ht="14.25" customHeight="1">
      <c r="A731" s="194"/>
      <c r="B731" s="2265"/>
      <c r="C731" s="2266"/>
      <c r="D731" s="2266"/>
      <c r="E731" s="2266"/>
      <c r="F731" s="2266"/>
      <c r="G731" s="2267"/>
      <c r="H731" s="511"/>
      <c r="I731" s="532"/>
      <c r="J731" s="122"/>
      <c r="K731" s="122"/>
      <c r="L731" s="1288"/>
      <c r="M731" s="291"/>
      <c r="N731" s="509"/>
      <c r="R731" s="2575"/>
      <c r="S731" s="2575"/>
      <c r="T731" s="2575"/>
      <c r="U731" s="2575"/>
      <c r="V731" s="2575"/>
      <c r="W731" s="2575"/>
      <c r="X731" s="2575"/>
      <c r="Y731" s="2575"/>
      <c r="Z731" s="2575"/>
      <c r="AA731" s="2575"/>
      <c r="AB731" s="2575"/>
    </row>
    <row r="732" spans="1:28" s="165" customFormat="1" ht="14.25" customHeight="1">
      <c r="A732" s="194">
        <v>2</v>
      </c>
      <c r="B732" s="2265" t="s">
        <v>940</v>
      </c>
      <c r="C732" s="2266"/>
      <c r="D732" s="2266"/>
      <c r="E732" s="2266"/>
      <c r="F732" s="2266"/>
      <c r="G732" s="2267"/>
      <c r="H732" s="242"/>
      <c r="I732" s="532"/>
      <c r="J732" s="122"/>
      <c r="K732" s="122"/>
      <c r="L732" s="1288"/>
      <c r="M732" s="229"/>
      <c r="N732" s="509"/>
      <c r="R732" s="2575"/>
      <c r="S732" s="2575"/>
      <c r="T732" s="2575"/>
      <c r="U732" s="2575"/>
      <c r="V732" s="2575"/>
      <c r="W732" s="2575"/>
      <c r="X732" s="2575"/>
      <c r="Y732" s="2575"/>
      <c r="Z732" s="2575"/>
      <c r="AA732" s="2575"/>
      <c r="AB732" s="2575"/>
    </row>
    <row r="733" spans="1:28" s="165" customFormat="1" ht="14.25" customHeight="1">
      <c r="A733" s="194"/>
      <c r="B733" s="2265"/>
      <c r="C733" s="2266"/>
      <c r="D733" s="2266"/>
      <c r="E733" s="2266"/>
      <c r="F733" s="2266"/>
      <c r="G733" s="2267"/>
      <c r="H733" s="511" t="s">
        <v>89</v>
      </c>
      <c r="I733" s="532" t="s">
        <v>873</v>
      </c>
      <c r="J733" s="122">
        <f>J567</f>
        <v>1.31</v>
      </c>
      <c r="K733" s="122">
        <f>K567</f>
        <v>1.31</v>
      </c>
      <c r="L733" s="1288">
        <f>L567</f>
        <v>0.0954</v>
      </c>
      <c r="M733" s="291">
        <f>J733+L733</f>
        <v>1.4054</v>
      </c>
      <c r="N733" s="270">
        <f>K733+L733</f>
        <v>1.4054</v>
      </c>
      <c r="R733" s="2575"/>
      <c r="S733" s="2575"/>
      <c r="T733" s="2575"/>
      <c r="U733" s="2575"/>
      <c r="V733" s="2575"/>
      <c r="W733" s="2575"/>
      <c r="X733" s="2575"/>
      <c r="Y733" s="2575"/>
      <c r="Z733" s="2575"/>
      <c r="AA733" s="2575"/>
      <c r="AB733" s="2575"/>
    </row>
    <row r="734" spans="1:28" s="165" customFormat="1" ht="14.25" customHeight="1">
      <c r="A734" s="194"/>
      <c r="B734" s="2265"/>
      <c r="C734" s="2266"/>
      <c r="D734" s="2266"/>
      <c r="E734" s="2266"/>
      <c r="F734" s="2266"/>
      <c r="G734" s="2267"/>
      <c r="H734" s="511"/>
      <c r="I734" s="532"/>
      <c r="J734" s="122"/>
      <c r="K734" s="122"/>
      <c r="L734" s="1288"/>
      <c r="M734" s="291"/>
      <c r="N734" s="291"/>
      <c r="R734" s="2575"/>
      <c r="S734" s="2575"/>
      <c r="T734" s="2575"/>
      <c r="U734" s="2575"/>
      <c r="V734" s="2575"/>
      <c r="W734" s="2575"/>
      <c r="X734" s="2575"/>
      <c r="Y734" s="2575"/>
      <c r="Z734" s="2575"/>
      <c r="AA734" s="2575"/>
      <c r="AB734" s="2575"/>
    </row>
    <row r="735" spans="1:28" s="165" customFormat="1" ht="14.25" customHeight="1">
      <c r="A735" s="194">
        <v>3</v>
      </c>
      <c r="B735" s="521" t="s">
        <v>956</v>
      </c>
      <c r="C735" s="149"/>
      <c r="D735" s="149"/>
      <c r="E735" s="149"/>
      <c r="F735" s="149"/>
      <c r="G735" s="219"/>
      <c r="H735" s="119">
        <v>3.1</v>
      </c>
      <c r="I735" s="533" t="s">
        <v>945</v>
      </c>
      <c r="J735" s="122">
        <f aca="true" t="shared" si="71" ref="J735:L736">J585</f>
        <v>1.31</v>
      </c>
      <c r="K735" s="122">
        <f t="shared" si="71"/>
        <v>0.82</v>
      </c>
      <c r="L735" s="1288">
        <f t="shared" si="71"/>
        <v>0.059199999999999996</v>
      </c>
      <c r="M735" s="291">
        <f>J735+L735</f>
        <v>1.3692</v>
      </c>
      <c r="N735" s="291">
        <f>K735+L735</f>
        <v>0.8792</v>
      </c>
      <c r="R735" s="2575"/>
      <c r="S735" s="2575"/>
      <c r="T735" s="2575"/>
      <c r="U735" s="2575"/>
      <c r="V735" s="2575"/>
      <c r="W735" s="2575"/>
      <c r="X735" s="2575"/>
      <c r="Y735" s="2575"/>
      <c r="Z735" s="2575"/>
      <c r="AA735" s="2575"/>
      <c r="AB735" s="2575"/>
    </row>
    <row r="736" spans="1:28" s="165" customFormat="1" ht="14.25" customHeight="1">
      <c r="A736" s="194">
        <v>4</v>
      </c>
      <c r="B736" s="521" t="s">
        <v>957</v>
      </c>
      <c r="C736" s="149"/>
      <c r="D736" s="149"/>
      <c r="E736" s="149"/>
      <c r="F736" s="149"/>
      <c r="G736" s="219"/>
      <c r="H736" s="119">
        <v>3.2</v>
      </c>
      <c r="I736" s="533" t="s">
        <v>945</v>
      </c>
      <c r="J736" s="122">
        <f t="shared" si="71"/>
        <v>3.1</v>
      </c>
      <c r="K736" s="122">
        <f t="shared" si="71"/>
        <v>2.28</v>
      </c>
      <c r="L736" s="1288">
        <f t="shared" si="71"/>
        <v>0.40800000000000003</v>
      </c>
      <c r="M736" s="291">
        <f>J736+L736</f>
        <v>3.508</v>
      </c>
      <c r="N736" s="270">
        <f>K736+L736</f>
        <v>2.6879999999999997</v>
      </c>
      <c r="R736" s="2575"/>
      <c r="S736" s="2575"/>
      <c r="T736" s="2575"/>
      <c r="U736" s="2575"/>
      <c r="V736" s="2575"/>
      <c r="W736" s="2575"/>
      <c r="X736" s="2575"/>
      <c r="Y736" s="2575"/>
      <c r="Z736" s="2575"/>
      <c r="AA736" s="2575"/>
      <c r="AB736" s="2575"/>
    </row>
    <row r="737" spans="1:28" s="165" customFormat="1" ht="14.25" customHeight="1">
      <c r="A737" s="194">
        <v>5</v>
      </c>
      <c r="B737" s="521" t="s">
        <v>1</v>
      </c>
      <c r="C737" s="149"/>
      <c r="D737" s="149"/>
      <c r="E737" s="149"/>
      <c r="F737" s="149"/>
      <c r="G737" s="219"/>
      <c r="H737" s="119">
        <v>3.7</v>
      </c>
      <c r="I737" s="533" t="s">
        <v>945</v>
      </c>
      <c r="J737" s="122">
        <f>J589</f>
        <v>0.65</v>
      </c>
      <c r="K737" s="122">
        <f>K589</f>
        <v>0.65</v>
      </c>
      <c r="L737" s="1288">
        <f>'[1]лаб.'!$J$80</f>
        <v>0</v>
      </c>
      <c r="M737" s="291">
        <f>J737+L737</f>
        <v>0.65</v>
      </c>
      <c r="N737" s="291">
        <f>K737+L737</f>
        <v>0.65</v>
      </c>
      <c r="R737" s="2575"/>
      <c r="S737" s="2575"/>
      <c r="T737" s="2575"/>
      <c r="U737" s="2575"/>
      <c r="V737" s="2575"/>
      <c r="W737" s="2575"/>
      <c r="X737" s="2575"/>
      <c r="Y737" s="2575"/>
      <c r="Z737" s="2575"/>
      <c r="AA737" s="2575"/>
      <c r="AB737" s="2575"/>
    </row>
    <row r="738" spans="1:28" s="165" customFormat="1" ht="14.25" customHeight="1">
      <c r="A738" s="194">
        <v>6</v>
      </c>
      <c r="B738" s="2265" t="s">
        <v>2</v>
      </c>
      <c r="C738" s="2266"/>
      <c r="D738" s="2266"/>
      <c r="E738" s="2266"/>
      <c r="F738" s="2266"/>
      <c r="G738" s="2267"/>
      <c r="H738" s="536" t="s">
        <v>309</v>
      </c>
      <c r="I738" s="533" t="s">
        <v>945</v>
      </c>
      <c r="J738" s="122">
        <f>J590</f>
        <v>2.12</v>
      </c>
      <c r="K738" s="122">
        <f>K590</f>
        <v>1.63</v>
      </c>
      <c r="L738" s="1288">
        <f>L590</f>
        <v>0.388</v>
      </c>
      <c r="M738" s="291">
        <f>J738+L738</f>
        <v>2.508</v>
      </c>
      <c r="N738" s="291">
        <f>K738+L738</f>
        <v>2.018</v>
      </c>
      <c r="R738" s="2575"/>
      <c r="S738" s="2575"/>
      <c r="T738" s="2575"/>
      <c r="U738" s="2575"/>
      <c r="V738" s="2575"/>
      <c r="W738" s="2575"/>
      <c r="X738" s="2575"/>
      <c r="Y738" s="2575"/>
      <c r="Z738" s="2575"/>
      <c r="AA738" s="2575"/>
      <c r="AB738" s="2575"/>
    </row>
    <row r="739" spans="1:28" s="165" customFormat="1" ht="14.25" customHeight="1">
      <c r="A739" s="194"/>
      <c r="B739" s="2265"/>
      <c r="C739" s="2266"/>
      <c r="D739" s="2266"/>
      <c r="E739" s="2266"/>
      <c r="F739" s="2266"/>
      <c r="G739" s="2267"/>
      <c r="H739" s="536"/>
      <c r="I739" s="533"/>
      <c r="J739" s="122"/>
      <c r="K739" s="122"/>
      <c r="L739" s="1288"/>
      <c r="M739" s="291"/>
      <c r="N739" s="291"/>
      <c r="R739" s="2575"/>
      <c r="S739" s="2575"/>
      <c r="T739" s="2575"/>
      <c r="U739" s="2575"/>
      <c r="V739" s="2575"/>
      <c r="W739" s="2575"/>
      <c r="X739" s="2575"/>
      <c r="Y739" s="2575"/>
      <c r="Z739" s="2575"/>
      <c r="AA739" s="2575"/>
      <c r="AB739" s="2575"/>
    </row>
    <row r="740" spans="1:28" s="165" customFormat="1" ht="14.25" customHeight="1">
      <c r="A740" s="194">
        <v>7</v>
      </c>
      <c r="B740" s="2265" t="s">
        <v>3</v>
      </c>
      <c r="C740" s="2266"/>
      <c r="D740" s="2266"/>
      <c r="E740" s="2266"/>
      <c r="F740" s="2266"/>
      <c r="G740" s="2267"/>
      <c r="H740" s="536"/>
      <c r="I740" s="534"/>
      <c r="J740" s="122"/>
      <c r="K740" s="122"/>
      <c r="L740" s="1288"/>
      <c r="M740" s="291"/>
      <c r="N740" s="509"/>
      <c r="R740" s="2575"/>
      <c r="S740" s="2575"/>
      <c r="T740" s="2575"/>
      <c r="U740" s="2575"/>
      <c r="V740" s="2575"/>
      <c r="W740" s="2575"/>
      <c r="X740" s="2575"/>
      <c r="Y740" s="2575"/>
      <c r="Z740" s="2575"/>
      <c r="AA740" s="2575"/>
      <c r="AB740" s="2575"/>
    </row>
    <row r="741" spans="1:28" s="165" customFormat="1" ht="14.25" customHeight="1">
      <c r="A741" s="194"/>
      <c r="B741" s="2265"/>
      <c r="C741" s="2266"/>
      <c r="D741" s="2266"/>
      <c r="E741" s="2266"/>
      <c r="F741" s="2266"/>
      <c r="G741" s="2267"/>
      <c r="H741" s="536" t="s">
        <v>310</v>
      </c>
      <c r="I741" s="533" t="s">
        <v>945</v>
      </c>
      <c r="J741" s="122">
        <f>J593</f>
        <v>4.07</v>
      </c>
      <c r="K741" s="122">
        <f>K593</f>
        <v>2.28</v>
      </c>
      <c r="L741" s="1288">
        <f>L593</f>
        <v>0.11055999999999999</v>
      </c>
      <c r="M741" s="291">
        <f>J741+L741</f>
        <v>4.18056</v>
      </c>
      <c r="N741" s="291">
        <f>K741+L741</f>
        <v>2.39056</v>
      </c>
      <c r="R741" s="2575"/>
      <c r="S741" s="2575"/>
      <c r="T741" s="2575"/>
      <c r="U741" s="2575"/>
      <c r="V741" s="2575"/>
      <c r="W741" s="2575"/>
      <c r="X741" s="2575"/>
      <c r="Y741" s="2575"/>
      <c r="Z741" s="2575"/>
      <c r="AA741" s="2575"/>
      <c r="AB741" s="2575"/>
    </row>
    <row r="742" spans="1:28" s="165" customFormat="1" ht="14.25" customHeight="1">
      <c r="A742" s="194"/>
      <c r="B742" s="2265"/>
      <c r="C742" s="2266"/>
      <c r="D742" s="2266"/>
      <c r="E742" s="2266"/>
      <c r="F742" s="2266"/>
      <c r="G742" s="2267"/>
      <c r="H742" s="537"/>
      <c r="I742" s="533"/>
      <c r="J742" s="122"/>
      <c r="K742" s="122"/>
      <c r="L742" s="1288"/>
      <c r="M742" s="229"/>
      <c r="N742" s="229"/>
      <c r="R742" s="2575"/>
      <c r="S742" s="2575"/>
      <c r="T742" s="2575"/>
      <c r="U742" s="2575"/>
      <c r="V742" s="2575"/>
      <c r="W742" s="2575"/>
      <c r="X742" s="2575"/>
      <c r="Y742" s="2575"/>
      <c r="Z742" s="2575"/>
      <c r="AA742" s="2575"/>
      <c r="AB742" s="2575"/>
    </row>
    <row r="743" spans="1:28" s="165" customFormat="1" ht="14.25" customHeight="1">
      <c r="A743" s="190"/>
      <c r="B743" s="526"/>
      <c r="C743" s="283"/>
      <c r="D743" s="284" t="s">
        <v>919</v>
      </c>
      <c r="E743" s="283"/>
      <c r="F743" s="283"/>
      <c r="G743" s="287"/>
      <c r="H743" s="283"/>
      <c r="I743" s="234"/>
      <c r="J743" s="120">
        <f>SUM(J729:J742)</f>
        <v>14.02</v>
      </c>
      <c r="K743" s="120">
        <f>SUM(K729:K742)</f>
        <v>10.429999999999998</v>
      </c>
      <c r="L743" s="1294">
        <f>SUM(L729:L742)</f>
        <v>1.06116</v>
      </c>
      <c r="M743" s="248">
        <f>SUM(M729:M742)</f>
        <v>15.08116</v>
      </c>
      <c r="N743" s="248">
        <f>SUM(N729:N742)</f>
        <v>11.49116</v>
      </c>
      <c r="R743" s="2575"/>
      <c r="S743" s="2575"/>
      <c r="T743" s="2575"/>
      <c r="U743" s="2575"/>
      <c r="V743" s="2575"/>
      <c r="W743" s="2575"/>
      <c r="X743" s="2575"/>
      <c r="Y743" s="2575"/>
      <c r="Z743" s="2575"/>
      <c r="AA743" s="2575"/>
      <c r="AB743" s="2575"/>
    </row>
    <row r="744" spans="1:28" s="165" customFormat="1" ht="14.25" customHeight="1">
      <c r="A744" s="214">
        <v>4</v>
      </c>
      <c r="B744" s="289" t="s">
        <v>90</v>
      </c>
      <c r="C744" s="243"/>
      <c r="D744" s="243"/>
      <c r="E744" s="243"/>
      <c r="F744" s="243"/>
      <c r="G744" s="244"/>
      <c r="H744" s="290"/>
      <c r="I744" s="122"/>
      <c r="J744" s="219"/>
      <c r="K744" s="219"/>
      <c r="L744" s="1289"/>
      <c r="M744" s="509"/>
      <c r="N744" s="509"/>
      <c r="R744" s="2575"/>
      <c r="S744" s="2575"/>
      <c r="T744" s="2575"/>
      <c r="U744" s="2575"/>
      <c r="V744" s="2575"/>
      <c r="W744" s="2575"/>
      <c r="X744" s="2575"/>
      <c r="Y744" s="2575"/>
      <c r="Z744" s="2575"/>
      <c r="AA744" s="2575"/>
      <c r="AB744" s="2575"/>
    </row>
    <row r="745" spans="1:28" s="165" customFormat="1" ht="14.25" customHeight="1">
      <c r="A745" s="187">
        <v>1</v>
      </c>
      <c r="B745" s="2266" t="s">
        <v>936</v>
      </c>
      <c r="C745" s="2266"/>
      <c r="D745" s="2266"/>
      <c r="E745" s="2266"/>
      <c r="F745" s="2266"/>
      <c r="G745" s="2267"/>
      <c r="H745" s="268"/>
      <c r="I745" s="216"/>
      <c r="J745" s="122"/>
      <c r="K745" s="122"/>
      <c r="L745" s="1288"/>
      <c r="M745" s="229"/>
      <c r="N745" s="509"/>
      <c r="R745" s="2575"/>
      <c r="S745" s="2575"/>
      <c r="T745" s="2575"/>
      <c r="U745" s="2575"/>
      <c r="V745" s="2575"/>
      <c r="W745" s="2575"/>
      <c r="X745" s="2575"/>
      <c r="Y745" s="2575"/>
      <c r="Z745" s="2575"/>
      <c r="AA745" s="2575"/>
      <c r="AB745" s="2575"/>
    </row>
    <row r="746" spans="1:28" s="165" customFormat="1" ht="14.25" customHeight="1">
      <c r="A746" s="187"/>
      <c r="B746" s="2266"/>
      <c r="C746" s="2266"/>
      <c r="D746" s="2266"/>
      <c r="E746" s="2266"/>
      <c r="F746" s="2266"/>
      <c r="G746" s="2267"/>
      <c r="H746" s="268">
        <v>1.2</v>
      </c>
      <c r="I746" s="216" t="s">
        <v>937</v>
      </c>
      <c r="J746" s="122">
        <f>J729</f>
        <v>1.46</v>
      </c>
      <c r="K746" s="121">
        <f>K729</f>
        <v>1.46</v>
      </c>
      <c r="L746" s="1288"/>
      <c r="M746" s="291">
        <f>J746+L746</f>
        <v>1.46</v>
      </c>
      <c r="N746" s="270">
        <f>K746+L746</f>
        <v>1.46</v>
      </c>
      <c r="R746" s="2575"/>
      <c r="S746" s="2575"/>
      <c r="T746" s="2575"/>
      <c r="U746" s="2575"/>
      <c r="V746" s="2575"/>
      <c r="W746" s="2575"/>
      <c r="X746" s="2575"/>
      <c r="Y746" s="2575"/>
      <c r="Z746" s="2575"/>
      <c r="AA746" s="2575"/>
      <c r="AB746" s="2575"/>
    </row>
    <row r="747" spans="1:28" s="165" customFormat="1" ht="14.25" customHeight="1">
      <c r="A747" s="187"/>
      <c r="B747" s="2266"/>
      <c r="C747" s="2266"/>
      <c r="D747" s="2266"/>
      <c r="E747" s="2266"/>
      <c r="F747" s="2266"/>
      <c r="G747" s="2267"/>
      <c r="H747" s="268"/>
      <c r="I747" s="216" t="s">
        <v>938</v>
      </c>
      <c r="J747" s="122"/>
      <c r="K747" s="122"/>
      <c r="L747" s="1288"/>
      <c r="M747" s="291"/>
      <c r="N747" s="219"/>
      <c r="R747" s="2575"/>
      <c r="S747" s="2575"/>
      <c r="T747" s="2575"/>
      <c r="U747" s="2575"/>
      <c r="V747" s="2575"/>
      <c r="W747" s="2575"/>
      <c r="X747" s="2575"/>
      <c r="Y747" s="2575"/>
      <c r="Z747" s="2575"/>
      <c r="AA747" s="2575"/>
      <c r="AB747" s="2575"/>
    </row>
    <row r="748" spans="1:28" s="165" customFormat="1" ht="14.25" customHeight="1">
      <c r="A748" s="187"/>
      <c r="B748" s="2266"/>
      <c r="C748" s="2266"/>
      <c r="D748" s="2266"/>
      <c r="E748" s="2266"/>
      <c r="F748" s="2266"/>
      <c r="G748" s="2267"/>
      <c r="H748" s="268"/>
      <c r="I748" s="216"/>
      <c r="J748" s="122"/>
      <c r="K748" s="122"/>
      <c r="L748" s="1288"/>
      <c r="M748" s="291"/>
      <c r="N748" s="219"/>
      <c r="R748" s="2575"/>
      <c r="S748" s="2575"/>
      <c r="T748" s="2575"/>
      <c r="U748" s="2575"/>
      <c r="V748" s="2575"/>
      <c r="W748" s="2575"/>
      <c r="X748" s="2575"/>
      <c r="Y748" s="2575"/>
      <c r="Z748" s="2575"/>
      <c r="AA748" s="2575"/>
      <c r="AB748" s="2575"/>
    </row>
    <row r="749" spans="1:28" s="165" customFormat="1" ht="14.25" customHeight="1">
      <c r="A749" s="187">
        <v>2</v>
      </c>
      <c r="B749" s="2266" t="s">
        <v>940</v>
      </c>
      <c r="C749" s="2266"/>
      <c r="D749" s="2266"/>
      <c r="E749" s="2266"/>
      <c r="F749" s="2266"/>
      <c r="G749" s="2267"/>
      <c r="H749" s="286"/>
      <c r="I749" s="216"/>
      <c r="J749" s="122"/>
      <c r="K749" s="122"/>
      <c r="L749" s="1288"/>
      <c r="M749" s="291"/>
      <c r="N749" s="219"/>
      <c r="R749" s="2575"/>
      <c r="S749" s="2575"/>
      <c r="T749" s="2575"/>
      <c r="U749" s="2575"/>
      <c r="V749" s="2575"/>
      <c r="W749" s="2575"/>
      <c r="X749" s="2575"/>
      <c r="Y749" s="2575"/>
      <c r="Z749" s="2575"/>
      <c r="AA749" s="2575"/>
      <c r="AB749" s="2575"/>
    </row>
    <row r="750" spans="1:28" s="165" customFormat="1" ht="14.25" customHeight="1">
      <c r="A750" s="187"/>
      <c r="B750" s="2266"/>
      <c r="C750" s="2266"/>
      <c r="D750" s="2266"/>
      <c r="E750" s="2266"/>
      <c r="F750" s="2266"/>
      <c r="G750" s="2267"/>
      <c r="H750" s="268" t="s">
        <v>89</v>
      </c>
      <c r="I750" s="216" t="s">
        <v>873</v>
      </c>
      <c r="J750" s="122">
        <f>J733</f>
        <v>1.31</v>
      </c>
      <c r="K750" s="121">
        <f>K733</f>
        <v>1.31</v>
      </c>
      <c r="L750" s="1288">
        <f>L733</f>
        <v>0.0954</v>
      </c>
      <c r="M750" s="291">
        <f>J750+L750</f>
        <v>1.4054</v>
      </c>
      <c r="N750" s="270">
        <f>K750+L750</f>
        <v>1.4054</v>
      </c>
      <c r="R750" s="2575"/>
      <c r="S750" s="2575"/>
      <c r="T750" s="2575"/>
      <c r="U750" s="2575"/>
      <c r="V750" s="2575"/>
      <c r="W750" s="2575"/>
      <c r="X750" s="2575"/>
      <c r="Y750" s="2575"/>
      <c r="Z750" s="2575"/>
      <c r="AA750" s="2575"/>
      <c r="AB750" s="2575"/>
    </row>
    <row r="751" spans="1:28" s="165" customFormat="1" ht="14.25" customHeight="1">
      <c r="A751" s="187"/>
      <c r="B751" s="2266"/>
      <c r="C751" s="2266"/>
      <c r="D751" s="2266"/>
      <c r="E751" s="2266"/>
      <c r="F751" s="2266"/>
      <c r="G751" s="2267"/>
      <c r="H751" s="268"/>
      <c r="I751" s="216"/>
      <c r="J751" s="122"/>
      <c r="K751" s="122"/>
      <c r="L751" s="1288"/>
      <c r="M751" s="291"/>
      <c r="N751" s="270"/>
      <c r="R751" s="2575"/>
      <c r="S751" s="2575"/>
      <c r="T751" s="2575"/>
      <c r="U751" s="2575"/>
      <c r="V751" s="2575"/>
      <c r="W751" s="2575"/>
      <c r="X751" s="2575"/>
      <c r="Y751" s="2575"/>
      <c r="Z751" s="2575"/>
      <c r="AA751" s="2575"/>
      <c r="AB751" s="2575"/>
    </row>
    <row r="752" spans="1:28" s="165" customFormat="1" ht="14.25" customHeight="1">
      <c r="A752" s="187">
        <v>3</v>
      </c>
      <c r="B752" s="207" t="s">
        <v>956</v>
      </c>
      <c r="C752" s="149"/>
      <c r="D752" s="149"/>
      <c r="E752" s="149"/>
      <c r="F752" s="149"/>
      <c r="G752" s="219"/>
      <c r="H752" s="121"/>
      <c r="I752" s="225" t="s">
        <v>945</v>
      </c>
      <c r="J752" s="122">
        <f aca="true" t="shared" si="72" ref="J752:L753">J735</f>
        <v>1.31</v>
      </c>
      <c r="K752" s="121">
        <f t="shared" si="72"/>
        <v>0.82</v>
      </c>
      <c r="L752" s="1288">
        <f t="shared" si="72"/>
        <v>0.059199999999999996</v>
      </c>
      <c r="M752" s="291">
        <f aca="true" t="shared" si="73" ref="M752:M757">J752+L752</f>
        <v>1.3692</v>
      </c>
      <c r="N752" s="270">
        <f aca="true" t="shared" si="74" ref="N752:N757">K752+L752</f>
        <v>0.8792</v>
      </c>
      <c r="R752" s="2575"/>
      <c r="S752" s="2575"/>
      <c r="T752" s="2575"/>
      <c r="U752" s="2575"/>
      <c r="V752" s="2575"/>
      <c r="W752" s="2575"/>
      <c r="X752" s="2575"/>
      <c r="Y752" s="2575"/>
      <c r="Z752" s="2575"/>
      <c r="AA752" s="2575"/>
      <c r="AB752" s="2575"/>
    </row>
    <row r="753" spans="1:28" s="165" customFormat="1" ht="14.25" customHeight="1">
      <c r="A753" s="187">
        <v>4</v>
      </c>
      <c r="B753" s="207" t="s">
        <v>957</v>
      </c>
      <c r="C753" s="149"/>
      <c r="D753" s="149"/>
      <c r="E753" s="149"/>
      <c r="F753" s="149"/>
      <c r="G753" s="219"/>
      <c r="H753" s="121"/>
      <c r="I753" s="225" t="s">
        <v>945</v>
      </c>
      <c r="J753" s="122">
        <f t="shared" si="72"/>
        <v>3.1</v>
      </c>
      <c r="K753" s="121">
        <f t="shared" si="72"/>
        <v>2.28</v>
      </c>
      <c r="L753" s="1288">
        <f t="shared" si="72"/>
        <v>0.40800000000000003</v>
      </c>
      <c r="M753" s="291">
        <f t="shared" si="73"/>
        <v>3.508</v>
      </c>
      <c r="N753" s="270">
        <f t="shared" si="74"/>
        <v>2.6879999999999997</v>
      </c>
      <c r="R753" s="2575"/>
      <c r="S753" s="2575"/>
      <c r="T753" s="2575"/>
      <c r="U753" s="2575"/>
      <c r="V753" s="2575"/>
      <c r="W753" s="2575"/>
      <c r="X753" s="2575"/>
      <c r="Y753" s="2575"/>
      <c r="Z753" s="2575"/>
      <c r="AA753" s="2575"/>
      <c r="AB753" s="2575"/>
    </row>
    <row r="754" spans="1:28" s="165" customFormat="1" ht="14.25" customHeight="1">
      <c r="A754" s="187">
        <v>5</v>
      </c>
      <c r="B754" s="207" t="s">
        <v>958</v>
      </c>
      <c r="C754" s="149"/>
      <c r="D754" s="149"/>
      <c r="E754" s="149"/>
      <c r="F754" s="149"/>
      <c r="G754" s="219"/>
      <c r="H754" s="121"/>
      <c r="I754" s="225" t="s">
        <v>945</v>
      </c>
      <c r="J754" s="122">
        <f aca="true" t="shared" si="75" ref="J754:L755">J587</f>
        <v>4.56</v>
      </c>
      <c r="K754" s="121">
        <f t="shared" si="75"/>
        <v>4.56</v>
      </c>
      <c r="L754" s="1288">
        <f t="shared" si="75"/>
        <v>0.22236999999999998</v>
      </c>
      <c r="M754" s="291">
        <f t="shared" si="73"/>
        <v>4.782369999999999</v>
      </c>
      <c r="N754" s="291">
        <f t="shared" si="74"/>
        <v>4.782369999999999</v>
      </c>
      <c r="R754" s="2575"/>
      <c r="S754" s="2575"/>
      <c r="T754" s="2575"/>
      <c r="U754" s="2575"/>
      <c r="V754" s="2575"/>
      <c r="W754" s="2575"/>
      <c r="X754" s="2575"/>
      <c r="Y754" s="2575"/>
      <c r="Z754" s="2575"/>
      <c r="AA754" s="2575"/>
      <c r="AB754" s="2575"/>
    </row>
    <row r="755" spans="1:28" s="165" customFormat="1" ht="14.25" customHeight="1">
      <c r="A755" s="187">
        <v>6</v>
      </c>
      <c r="B755" s="207" t="s">
        <v>0</v>
      </c>
      <c r="C755" s="149"/>
      <c r="D755" s="149"/>
      <c r="E755" s="149"/>
      <c r="F755" s="149"/>
      <c r="G755" s="219"/>
      <c r="H755" s="121"/>
      <c r="I755" s="225" t="s">
        <v>945</v>
      </c>
      <c r="J755" s="122">
        <f t="shared" si="75"/>
        <v>5.87</v>
      </c>
      <c r="K755" s="121">
        <f t="shared" si="75"/>
        <v>3.59</v>
      </c>
      <c r="L755" s="1288">
        <f t="shared" si="75"/>
        <v>0.12465999999999999</v>
      </c>
      <c r="M755" s="291">
        <f t="shared" si="73"/>
        <v>5.99466</v>
      </c>
      <c r="N755" s="270">
        <f t="shared" si="74"/>
        <v>3.71466</v>
      </c>
      <c r="R755" s="2575"/>
      <c r="S755" s="2575"/>
      <c r="T755" s="2575"/>
      <c r="U755" s="2575"/>
      <c r="V755" s="2575"/>
      <c r="W755" s="2575"/>
      <c r="X755" s="2575"/>
      <c r="Y755" s="2575"/>
      <c r="Z755" s="2575"/>
      <c r="AA755" s="2575"/>
      <c r="AB755" s="2575"/>
    </row>
    <row r="756" spans="1:28" s="165" customFormat="1" ht="14.25" customHeight="1">
      <c r="A756" s="187">
        <v>7</v>
      </c>
      <c r="B756" s="207" t="s">
        <v>1</v>
      </c>
      <c r="C756" s="149"/>
      <c r="D756" s="149"/>
      <c r="E756" s="149"/>
      <c r="F756" s="149"/>
      <c r="G756" s="219"/>
      <c r="H756" s="121"/>
      <c r="I756" s="225" t="s">
        <v>945</v>
      </c>
      <c r="J756" s="122">
        <f>J737</f>
        <v>0.65</v>
      </c>
      <c r="K756" s="121">
        <f>K737</f>
        <v>0.65</v>
      </c>
      <c r="L756" s="1288">
        <f>L589</f>
        <v>0</v>
      </c>
      <c r="M756" s="291">
        <f t="shared" si="73"/>
        <v>0.65</v>
      </c>
      <c r="N756" s="291">
        <f t="shared" si="74"/>
        <v>0.65</v>
      </c>
      <c r="R756" s="2575"/>
      <c r="S756" s="2575"/>
      <c r="T756" s="2575"/>
      <c r="U756" s="2575"/>
      <c r="V756" s="2575"/>
      <c r="W756" s="2575"/>
      <c r="X756" s="2575"/>
      <c r="Y756" s="2575"/>
      <c r="Z756" s="2575"/>
      <c r="AA756" s="2575"/>
      <c r="AB756" s="2575"/>
    </row>
    <row r="757" spans="1:28" s="165" customFormat="1" ht="14.25" customHeight="1">
      <c r="A757" s="187">
        <v>8</v>
      </c>
      <c r="B757" s="2266" t="s">
        <v>2</v>
      </c>
      <c r="C757" s="2266"/>
      <c r="D757" s="2266"/>
      <c r="E757" s="2266"/>
      <c r="F757" s="2266"/>
      <c r="G757" s="2267"/>
      <c r="H757" s="286"/>
      <c r="I757" s="225" t="s">
        <v>945</v>
      </c>
      <c r="J757" s="122">
        <f>J738</f>
        <v>2.12</v>
      </c>
      <c r="K757" s="121">
        <f>K738</f>
        <v>1.63</v>
      </c>
      <c r="L757" s="1288">
        <f>L738</f>
        <v>0.388</v>
      </c>
      <c r="M757" s="291">
        <f t="shared" si="73"/>
        <v>2.508</v>
      </c>
      <c r="N757" s="291">
        <f t="shared" si="74"/>
        <v>2.018</v>
      </c>
      <c r="R757" s="2575"/>
      <c r="S757" s="2575"/>
      <c r="T757" s="2575"/>
      <c r="U757" s="2575"/>
      <c r="V757" s="2575"/>
      <c r="W757" s="2575"/>
      <c r="X757" s="2575"/>
      <c r="Y757" s="2575"/>
      <c r="Z757" s="2575"/>
      <c r="AA757" s="2575"/>
      <c r="AB757" s="2575"/>
    </row>
    <row r="758" spans="1:28" s="165" customFormat="1" ht="14.25" customHeight="1">
      <c r="A758" s="187"/>
      <c r="B758" s="2266"/>
      <c r="C758" s="2266"/>
      <c r="D758" s="2266"/>
      <c r="E758" s="2266"/>
      <c r="F758" s="2266"/>
      <c r="G758" s="2267"/>
      <c r="H758" s="286"/>
      <c r="I758" s="225"/>
      <c r="J758" s="122"/>
      <c r="K758" s="122"/>
      <c r="L758" s="1288"/>
      <c r="M758" s="291"/>
      <c r="N758" s="291"/>
      <c r="R758" s="2575"/>
      <c r="S758" s="2575"/>
      <c r="T758" s="2575"/>
      <c r="U758" s="2575"/>
      <c r="V758" s="2575"/>
      <c r="W758" s="2575"/>
      <c r="X758" s="2575"/>
      <c r="Y758" s="2575"/>
      <c r="Z758" s="2575"/>
      <c r="AA758" s="2575"/>
      <c r="AB758" s="2575"/>
    </row>
    <row r="759" spans="1:28" s="165" customFormat="1" ht="14.25" customHeight="1">
      <c r="A759" s="187">
        <v>9</v>
      </c>
      <c r="B759" s="2266" t="s">
        <v>3</v>
      </c>
      <c r="C759" s="2266"/>
      <c r="D759" s="2266"/>
      <c r="E759" s="2266"/>
      <c r="F759" s="2266"/>
      <c r="G759" s="2267"/>
      <c r="H759" s="286"/>
      <c r="I759" s="226"/>
      <c r="J759" s="122"/>
      <c r="K759" s="122"/>
      <c r="L759" s="1288"/>
      <c r="M759" s="291"/>
      <c r="N759" s="509"/>
      <c r="R759" s="2575"/>
      <c r="S759" s="2575"/>
      <c r="T759" s="2575"/>
      <c r="U759" s="2575"/>
      <c r="V759" s="2575"/>
      <c r="W759" s="2575"/>
      <c r="X759" s="2575"/>
      <c r="Y759" s="2575"/>
      <c r="Z759" s="2575"/>
      <c r="AA759" s="2575"/>
      <c r="AB759" s="2575"/>
    </row>
    <row r="760" spans="1:28" s="165" customFormat="1" ht="14.25" customHeight="1">
      <c r="A760" s="187"/>
      <c r="B760" s="2266"/>
      <c r="C760" s="2266"/>
      <c r="D760" s="2266"/>
      <c r="E760" s="2266"/>
      <c r="F760" s="2266"/>
      <c r="G760" s="2267"/>
      <c r="H760" s="286"/>
      <c r="I760" s="225" t="s">
        <v>945</v>
      </c>
      <c r="J760" s="122">
        <f>J741</f>
        <v>4.07</v>
      </c>
      <c r="K760" s="121">
        <f>K741</f>
        <v>2.28</v>
      </c>
      <c r="L760" s="1288">
        <f>L741</f>
        <v>0.11055999999999999</v>
      </c>
      <c r="M760" s="291">
        <f>J760+L760</f>
        <v>4.18056</v>
      </c>
      <c r="N760" s="270">
        <f>K760+L760</f>
        <v>2.39056</v>
      </c>
      <c r="R760" s="2575"/>
      <c r="S760" s="2575"/>
      <c r="T760" s="2575"/>
      <c r="U760" s="2575"/>
      <c r="V760" s="2575"/>
      <c r="W760" s="2575"/>
      <c r="X760" s="2575"/>
      <c r="Y760" s="2575"/>
      <c r="Z760" s="2575"/>
      <c r="AA760" s="2575"/>
      <c r="AB760" s="2575"/>
    </row>
    <row r="761" spans="1:28" s="165" customFormat="1" ht="14.25" customHeight="1">
      <c r="A761" s="221"/>
      <c r="B761" s="2266"/>
      <c r="C761" s="2266"/>
      <c r="D761" s="2266"/>
      <c r="E761" s="2266"/>
      <c r="F761" s="2266"/>
      <c r="G761" s="2267"/>
      <c r="H761" s="292"/>
      <c r="I761" s="216"/>
      <c r="J761" s="122"/>
      <c r="K761" s="122"/>
      <c r="L761" s="1288"/>
      <c r="M761" s="229"/>
      <c r="N761" s="219"/>
      <c r="R761" s="2575"/>
      <c r="S761" s="2575"/>
      <c r="T761" s="2575"/>
      <c r="U761" s="2575"/>
      <c r="V761" s="2575"/>
      <c r="W761" s="2575"/>
      <c r="X761" s="2575"/>
      <c r="Y761" s="2575"/>
      <c r="Z761" s="2575"/>
      <c r="AA761" s="2575"/>
      <c r="AB761" s="2575"/>
    </row>
    <row r="762" spans="1:28" s="165" customFormat="1" ht="14.25" customHeight="1">
      <c r="A762" s="233"/>
      <c r="B762" s="246"/>
      <c r="C762" s="246"/>
      <c r="D762" s="284" t="s">
        <v>919</v>
      </c>
      <c r="E762" s="283"/>
      <c r="F762" s="283"/>
      <c r="G762" s="287"/>
      <c r="H762" s="288"/>
      <c r="I762" s="120"/>
      <c r="J762" s="293">
        <f>SUM(J745:J760)</f>
        <v>24.45</v>
      </c>
      <c r="K762" s="293">
        <f>SUM(K745:K760)</f>
        <v>18.580000000000002</v>
      </c>
      <c r="L762" s="1295">
        <f>SUM(L745:L760)</f>
        <v>1.4081899999999998</v>
      </c>
      <c r="M762" s="281">
        <f>SUM(M745:M760)</f>
        <v>25.858189999999997</v>
      </c>
      <c r="N762" s="294">
        <f>SUM(N745:N760)</f>
        <v>19.98819</v>
      </c>
      <c r="R762" s="2575"/>
      <c r="S762" s="2575"/>
      <c r="T762" s="2575"/>
      <c r="U762" s="2575"/>
      <c r="V762" s="2575"/>
      <c r="W762" s="2575"/>
      <c r="X762" s="2575"/>
      <c r="Y762" s="2575"/>
      <c r="Z762" s="2575"/>
      <c r="AA762" s="2575"/>
      <c r="AB762" s="2575"/>
    </row>
    <row r="763" spans="1:28" s="165" customFormat="1" ht="14.25" customHeight="1">
      <c r="A763" s="214">
        <v>5</v>
      </c>
      <c r="B763" s="289" t="s">
        <v>91</v>
      </c>
      <c r="C763" s="197"/>
      <c r="D763" s="197"/>
      <c r="E763" s="197"/>
      <c r="F763" s="197"/>
      <c r="G763" s="198"/>
      <c r="H763" s="292"/>
      <c r="I763" s="216"/>
      <c r="J763" s="122"/>
      <c r="K763" s="122"/>
      <c r="L763" s="1288"/>
      <c r="M763" s="229"/>
      <c r="N763" s="219"/>
      <c r="R763" s="2575"/>
      <c r="S763" s="2575"/>
      <c r="T763" s="2575"/>
      <c r="U763" s="2575"/>
      <c r="V763" s="2575"/>
      <c r="W763" s="2575"/>
      <c r="X763" s="2575"/>
      <c r="Y763" s="2575"/>
      <c r="Z763" s="2575"/>
      <c r="AA763" s="2575"/>
      <c r="AB763" s="2575"/>
    </row>
    <row r="764" spans="1:28" s="165" customFormat="1" ht="14.25" customHeight="1">
      <c r="A764" s="187">
        <v>1</v>
      </c>
      <c r="B764" s="2266" t="s">
        <v>936</v>
      </c>
      <c r="C764" s="2266"/>
      <c r="D764" s="2266"/>
      <c r="E764" s="2266"/>
      <c r="F764" s="2266"/>
      <c r="G764" s="2267"/>
      <c r="H764" s="268"/>
      <c r="I764" s="216"/>
      <c r="J764" s="122"/>
      <c r="K764" s="122"/>
      <c r="L764" s="1288"/>
      <c r="M764" s="229"/>
      <c r="N764" s="219"/>
      <c r="R764" s="2575"/>
      <c r="S764" s="2575"/>
      <c r="T764" s="2575"/>
      <c r="U764" s="2575"/>
      <c r="V764" s="2575"/>
      <c r="W764" s="2575"/>
      <c r="X764" s="2575"/>
      <c r="Y764" s="2575"/>
      <c r="Z764" s="2575"/>
      <c r="AA764" s="2575"/>
      <c r="AB764" s="2575"/>
    </row>
    <row r="765" spans="1:28" s="165" customFormat="1" ht="14.25" customHeight="1">
      <c r="A765" s="187"/>
      <c r="B765" s="2266"/>
      <c r="C765" s="2266"/>
      <c r="D765" s="2266"/>
      <c r="E765" s="2266"/>
      <c r="F765" s="2266"/>
      <c r="G765" s="2267"/>
      <c r="H765" s="268">
        <v>1.2</v>
      </c>
      <c r="I765" s="216" t="s">
        <v>937</v>
      </c>
      <c r="J765" s="122">
        <f>J746</f>
        <v>1.46</v>
      </c>
      <c r="K765" s="121">
        <f>K746</f>
        <v>1.46</v>
      </c>
      <c r="L765" s="1288"/>
      <c r="M765" s="291">
        <f>J765+L765</f>
        <v>1.46</v>
      </c>
      <c r="N765" s="270">
        <f>K765+L765</f>
        <v>1.46</v>
      </c>
      <c r="R765" s="2575"/>
      <c r="S765" s="2575"/>
      <c r="T765" s="2575"/>
      <c r="U765" s="2575"/>
      <c r="V765" s="2575"/>
      <c r="W765" s="2575"/>
      <c r="X765" s="2575"/>
      <c r="Y765" s="2575"/>
      <c r="Z765" s="2575"/>
      <c r="AA765" s="2575"/>
      <c r="AB765" s="2575"/>
    </row>
    <row r="766" spans="1:28" s="165" customFormat="1" ht="14.25" customHeight="1">
      <c r="A766" s="187"/>
      <c r="B766" s="2266"/>
      <c r="C766" s="2266"/>
      <c r="D766" s="2266"/>
      <c r="E766" s="2266"/>
      <c r="F766" s="2266"/>
      <c r="G766" s="2267"/>
      <c r="H766" s="268"/>
      <c r="I766" s="216" t="s">
        <v>938</v>
      </c>
      <c r="J766" s="122"/>
      <c r="K766" s="121"/>
      <c r="L766" s="1288"/>
      <c r="M766" s="291"/>
      <c r="N766" s="219"/>
      <c r="R766" s="2575"/>
      <c r="S766" s="2575"/>
      <c r="T766" s="2575"/>
      <c r="U766" s="2575"/>
      <c r="V766" s="2575"/>
      <c r="W766" s="2575"/>
      <c r="X766" s="2575"/>
      <c r="Y766" s="2575"/>
      <c r="Z766" s="2575"/>
      <c r="AA766" s="2575"/>
      <c r="AB766" s="2575"/>
    </row>
    <row r="767" spans="1:28" s="165" customFormat="1" ht="14.25" customHeight="1">
      <c r="A767" s="187"/>
      <c r="B767" s="2266"/>
      <c r="C767" s="2266"/>
      <c r="D767" s="2266"/>
      <c r="E767" s="2266"/>
      <c r="F767" s="2266"/>
      <c r="G767" s="2267"/>
      <c r="H767" s="268"/>
      <c r="I767" s="216"/>
      <c r="J767" s="122"/>
      <c r="K767" s="121"/>
      <c r="L767" s="1288"/>
      <c r="M767" s="291"/>
      <c r="N767" s="219"/>
      <c r="R767" s="2575"/>
      <c r="S767" s="2575"/>
      <c r="T767" s="2575"/>
      <c r="U767" s="2575"/>
      <c r="V767" s="2575"/>
      <c r="W767" s="2575"/>
      <c r="X767" s="2575"/>
      <c r="Y767" s="2575"/>
      <c r="Z767" s="2575"/>
      <c r="AA767" s="2575"/>
      <c r="AB767" s="2575"/>
    </row>
    <row r="768" spans="1:28" s="165" customFormat="1" ht="14.25" customHeight="1">
      <c r="A768" s="187">
        <v>2</v>
      </c>
      <c r="B768" s="2266" t="s">
        <v>940</v>
      </c>
      <c r="C768" s="2266"/>
      <c r="D768" s="2266"/>
      <c r="E768" s="2266"/>
      <c r="F768" s="2266"/>
      <c r="G768" s="2267"/>
      <c r="H768" s="286"/>
      <c r="I768" s="216"/>
      <c r="J768" s="122"/>
      <c r="K768" s="121"/>
      <c r="L768" s="1288"/>
      <c r="M768" s="229"/>
      <c r="N768" s="219"/>
      <c r="R768" s="2575"/>
      <c r="S768" s="2575"/>
      <c r="T768" s="2575"/>
      <c r="U768" s="2575"/>
      <c r="V768" s="2575"/>
      <c r="W768" s="2575"/>
      <c r="X768" s="2575"/>
      <c r="Y768" s="2575"/>
      <c r="Z768" s="2575"/>
      <c r="AA768" s="2575"/>
      <c r="AB768" s="2575"/>
    </row>
    <row r="769" spans="1:28" s="165" customFormat="1" ht="14.25" customHeight="1">
      <c r="A769" s="655"/>
      <c r="B769" s="2266"/>
      <c r="C769" s="2266"/>
      <c r="D769" s="2266"/>
      <c r="E769" s="2266"/>
      <c r="F769" s="2266"/>
      <c r="G769" s="2267"/>
      <c r="H769" s="656" t="s">
        <v>89</v>
      </c>
      <c r="I769" s="657" t="s">
        <v>873</v>
      </c>
      <c r="J769" s="658">
        <f>J565</f>
        <v>0.65</v>
      </c>
      <c r="K769" s="659">
        <f>K565</f>
        <v>0.65</v>
      </c>
      <c r="L769" s="1296">
        <f>'[1]лаб.'!$J$9</f>
        <v>0.0954</v>
      </c>
      <c r="M769" s="652">
        <f>J769+L769</f>
        <v>0.7454000000000001</v>
      </c>
      <c r="N769" s="652">
        <f>K769+L769</f>
        <v>0.7454000000000001</v>
      </c>
      <c r="R769" s="2575"/>
      <c r="S769" s="2575"/>
      <c r="T769" s="2575"/>
      <c r="U769" s="2575"/>
      <c r="V769" s="2575"/>
      <c r="W769" s="2575"/>
      <c r="X769" s="2575"/>
      <c r="Y769" s="2575"/>
      <c r="Z769" s="2575"/>
      <c r="AA769" s="2575"/>
      <c r="AB769" s="2575"/>
    </row>
    <row r="770" spans="1:28" s="165" customFormat="1" ht="14.25" customHeight="1">
      <c r="A770" s="187"/>
      <c r="B770" s="2266"/>
      <c r="C770" s="2266"/>
      <c r="D770" s="2266"/>
      <c r="E770" s="2266"/>
      <c r="F770" s="2266"/>
      <c r="G770" s="2267"/>
      <c r="H770" s="268"/>
      <c r="I770" s="216"/>
      <c r="J770" s="122"/>
      <c r="K770" s="121"/>
      <c r="L770" s="1288"/>
      <c r="M770" s="229"/>
      <c r="N770" s="222"/>
      <c r="R770" s="2575"/>
      <c r="S770" s="2575"/>
      <c r="T770" s="2575"/>
      <c r="U770" s="2575"/>
      <c r="V770" s="2575"/>
      <c r="W770" s="2575"/>
      <c r="X770" s="2575"/>
      <c r="Y770" s="2575"/>
      <c r="Z770" s="2575"/>
      <c r="AA770" s="2575"/>
      <c r="AB770" s="2575"/>
    </row>
    <row r="771" spans="1:28" s="165" customFormat="1" ht="14.25" customHeight="1">
      <c r="A771" s="187">
        <v>3</v>
      </c>
      <c r="B771" s="207" t="s">
        <v>956</v>
      </c>
      <c r="C771" s="149"/>
      <c r="D771" s="149"/>
      <c r="E771" s="149"/>
      <c r="F771" s="149"/>
      <c r="G771" s="219"/>
      <c r="H771" s="121"/>
      <c r="I771" s="225" t="s">
        <v>945</v>
      </c>
      <c r="J771" s="122">
        <f>J752</f>
        <v>1.31</v>
      </c>
      <c r="K771" s="121">
        <f>K752</f>
        <v>0.82</v>
      </c>
      <c r="L771" s="1288">
        <f>L752</f>
        <v>0.059199999999999996</v>
      </c>
      <c r="M771" s="229">
        <f>J771+L771</f>
        <v>1.3692</v>
      </c>
      <c r="N771" s="222">
        <f>K771+L771</f>
        <v>0.8792</v>
      </c>
      <c r="R771" s="2575"/>
      <c r="S771" s="2575"/>
      <c r="T771" s="2575"/>
      <c r="U771" s="2575"/>
      <c r="V771" s="2575"/>
      <c r="W771" s="2575"/>
      <c r="X771" s="2575"/>
      <c r="Y771" s="2575"/>
      <c r="Z771" s="2575"/>
      <c r="AA771" s="2575"/>
      <c r="AB771" s="2575"/>
    </row>
    <row r="772" spans="1:28" s="165" customFormat="1" ht="14.25" customHeight="1">
      <c r="A772" s="187">
        <v>5</v>
      </c>
      <c r="B772" s="207" t="s">
        <v>1</v>
      </c>
      <c r="C772" s="149"/>
      <c r="D772" s="149"/>
      <c r="E772" s="149"/>
      <c r="F772" s="149"/>
      <c r="G772" s="219"/>
      <c r="H772" s="121"/>
      <c r="I772" s="225" t="s">
        <v>945</v>
      </c>
      <c r="J772" s="122">
        <f aca="true" t="shared" si="76" ref="J772:L773">J756</f>
        <v>0.65</v>
      </c>
      <c r="K772" s="121">
        <f t="shared" si="76"/>
        <v>0.65</v>
      </c>
      <c r="L772" s="1288">
        <f t="shared" si="76"/>
        <v>0</v>
      </c>
      <c r="M772" s="229">
        <f>J772+L772</f>
        <v>0.65</v>
      </c>
      <c r="N772" s="222">
        <f>K772+L772</f>
        <v>0.65</v>
      </c>
      <c r="R772" s="2575"/>
      <c r="S772" s="2575"/>
      <c r="T772" s="2575"/>
      <c r="U772" s="2575"/>
      <c r="V772" s="2575"/>
      <c r="W772" s="2575"/>
      <c r="X772" s="2575"/>
      <c r="Y772" s="2575"/>
      <c r="Z772" s="2575"/>
      <c r="AA772" s="2575"/>
      <c r="AB772" s="2575"/>
    </row>
    <row r="773" spans="1:28" s="165" customFormat="1" ht="14.25" customHeight="1">
      <c r="A773" s="187">
        <v>6</v>
      </c>
      <c r="B773" s="2266" t="s">
        <v>2</v>
      </c>
      <c r="C773" s="2266"/>
      <c r="D773" s="2266"/>
      <c r="E773" s="2266"/>
      <c r="F773" s="2266"/>
      <c r="G773" s="2267"/>
      <c r="H773" s="286"/>
      <c r="I773" s="225" t="s">
        <v>945</v>
      </c>
      <c r="J773" s="122">
        <f t="shared" si="76"/>
        <v>2.12</v>
      </c>
      <c r="K773" s="121">
        <f t="shared" si="76"/>
        <v>1.63</v>
      </c>
      <c r="L773" s="1288">
        <f t="shared" si="76"/>
        <v>0.388</v>
      </c>
      <c r="M773" s="229">
        <f>J773+L773</f>
        <v>2.508</v>
      </c>
      <c r="N773" s="222">
        <f>K773+L773</f>
        <v>2.018</v>
      </c>
      <c r="R773" s="2575"/>
      <c r="S773" s="2575"/>
      <c r="T773" s="2575"/>
      <c r="U773" s="2575"/>
      <c r="V773" s="2575"/>
      <c r="W773" s="2575"/>
      <c r="X773" s="2575"/>
      <c r="Y773" s="2575"/>
      <c r="Z773" s="2575"/>
      <c r="AA773" s="2575"/>
      <c r="AB773" s="2575"/>
    </row>
    <row r="774" spans="1:28" s="165" customFormat="1" ht="14.25" customHeight="1">
      <c r="A774" s="187"/>
      <c r="B774" s="2266"/>
      <c r="C774" s="2266"/>
      <c r="D774" s="2266"/>
      <c r="E774" s="2266"/>
      <c r="F774" s="2266"/>
      <c r="G774" s="2267"/>
      <c r="H774" s="286"/>
      <c r="I774" s="225"/>
      <c r="J774" s="122"/>
      <c r="K774" s="122"/>
      <c r="L774" s="1288"/>
      <c r="M774" s="229"/>
      <c r="N774" s="222"/>
      <c r="R774" s="2575"/>
      <c r="S774" s="2575"/>
      <c r="T774" s="2575"/>
      <c r="U774" s="2575"/>
      <c r="V774" s="2575"/>
      <c r="W774" s="2575"/>
      <c r="X774" s="2575"/>
      <c r="Y774" s="2575"/>
      <c r="Z774" s="2575"/>
      <c r="AA774" s="2575"/>
      <c r="AB774" s="2575"/>
    </row>
    <row r="775" spans="1:28" s="165" customFormat="1" ht="14.25" customHeight="1">
      <c r="A775" s="124"/>
      <c r="B775" s="283"/>
      <c r="C775" s="283"/>
      <c r="D775" s="284" t="s">
        <v>919</v>
      </c>
      <c r="E775" s="283"/>
      <c r="F775" s="283"/>
      <c r="G775" s="287"/>
      <c r="H775" s="288"/>
      <c r="I775" s="120"/>
      <c r="J775" s="295">
        <f>SUM(J765:J774)</f>
        <v>6.19</v>
      </c>
      <c r="K775" s="295">
        <f>SUM(K765:K774)</f>
        <v>5.209999999999999</v>
      </c>
      <c r="L775" s="1295">
        <f>SUM(L765:L774)</f>
        <v>0.5426</v>
      </c>
      <c r="M775" s="281">
        <f>SUM(M765:M774)</f>
        <v>6.732600000000001</v>
      </c>
      <c r="N775" s="281">
        <f>SUM(N765:N774)</f>
        <v>5.752599999999999</v>
      </c>
      <c r="R775" s="2575"/>
      <c r="S775" s="2575"/>
      <c r="T775" s="2575"/>
      <c r="U775" s="2575"/>
      <c r="V775" s="2575"/>
      <c r="W775" s="2575"/>
      <c r="X775" s="2575"/>
      <c r="Y775" s="2575"/>
      <c r="Z775" s="2575"/>
      <c r="AA775" s="2575"/>
      <c r="AB775" s="2575"/>
    </row>
    <row r="776" spans="1:28" s="165" customFormat="1" ht="14.25" customHeight="1">
      <c r="A776" s="214">
        <v>6</v>
      </c>
      <c r="B776" s="285" t="s">
        <v>92</v>
      </c>
      <c r="C776" s="149"/>
      <c r="D776" s="149"/>
      <c r="E776" s="149"/>
      <c r="F776" s="149"/>
      <c r="G776" s="219"/>
      <c r="H776" s="123"/>
      <c r="I776" s="122"/>
      <c r="J776" s="219"/>
      <c r="K776" s="219"/>
      <c r="L776" s="1289"/>
      <c r="M776" s="219"/>
      <c r="N776" s="219"/>
      <c r="R776" s="2575"/>
      <c r="S776" s="2575"/>
      <c r="T776" s="2575"/>
      <c r="U776" s="2575"/>
      <c r="V776" s="2575"/>
      <c r="W776" s="2575"/>
      <c r="X776" s="2575"/>
      <c r="Y776" s="2575"/>
      <c r="Z776" s="2575"/>
      <c r="AA776" s="2575"/>
      <c r="AB776" s="2575"/>
    </row>
    <row r="777" spans="1:28" s="165" customFormat="1" ht="14.25" customHeight="1">
      <c r="A777" s="187">
        <v>1</v>
      </c>
      <c r="B777" s="2266" t="s">
        <v>936</v>
      </c>
      <c r="C777" s="2266"/>
      <c r="D777" s="2266"/>
      <c r="E777" s="2266"/>
      <c r="F777" s="2266"/>
      <c r="G777" s="2267"/>
      <c r="H777" s="268"/>
      <c r="I777" s="216"/>
      <c r="J777" s="122"/>
      <c r="K777" s="122"/>
      <c r="L777" s="1288"/>
      <c r="M777" s="229"/>
      <c r="N777" s="219"/>
      <c r="R777" s="2575"/>
      <c r="S777" s="2575"/>
      <c r="T777" s="2575"/>
      <c r="U777" s="2575"/>
      <c r="V777" s="2575"/>
      <c r="W777" s="2575"/>
      <c r="X777" s="2575"/>
      <c r="Y777" s="2575"/>
      <c r="Z777" s="2575"/>
      <c r="AA777" s="2575"/>
      <c r="AB777" s="2575"/>
    </row>
    <row r="778" spans="1:28" s="165" customFormat="1" ht="14.25" customHeight="1">
      <c r="A778" s="187"/>
      <c r="B778" s="2266"/>
      <c r="C778" s="2266"/>
      <c r="D778" s="2266"/>
      <c r="E778" s="2266"/>
      <c r="F778" s="2266"/>
      <c r="G778" s="2267"/>
      <c r="H778" s="268">
        <v>1.2</v>
      </c>
      <c r="I778" s="216" t="s">
        <v>937</v>
      </c>
      <c r="J778" s="122">
        <f>J765</f>
        <v>1.46</v>
      </c>
      <c r="K778" s="121">
        <f>K765</f>
        <v>1.46</v>
      </c>
      <c r="L778" s="1288"/>
      <c r="M778" s="291">
        <f>J778+L778</f>
        <v>1.46</v>
      </c>
      <c r="N778" s="270">
        <f>K778+L778</f>
        <v>1.46</v>
      </c>
      <c r="R778" s="2575"/>
      <c r="S778" s="2575"/>
      <c r="T778" s="2575"/>
      <c r="U778" s="2575"/>
      <c r="V778" s="2575"/>
      <c r="W778" s="2575"/>
      <c r="X778" s="2575"/>
      <c r="Y778" s="2575"/>
      <c r="Z778" s="2575"/>
      <c r="AA778" s="2575"/>
      <c r="AB778" s="2575"/>
    </row>
    <row r="779" spans="1:28" s="165" customFormat="1" ht="14.25" customHeight="1">
      <c r="A779" s="187"/>
      <c r="B779" s="2266"/>
      <c r="C779" s="2266"/>
      <c r="D779" s="2266"/>
      <c r="E779" s="2266"/>
      <c r="F779" s="2266"/>
      <c r="G779" s="2267"/>
      <c r="H779" s="268"/>
      <c r="I779" s="216" t="s">
        <v>938</v>
      </c>
      <c r="J779" s="122"/>
      <c r="K779" s="121"/>
      <c r="L779" s="1288"/>
      <c r="M779" s="291"/>
      <c r="N779" s="219"/>
      <c r="R779" s="2575"/>
      <c r="S779" s="2575"/>
      <c r="T779" s="2575"/>
      <c r="U779" s="2575"/>
      <c r="V779" s="2575"/>
      <c r="W779" s="2575"/>
      <c r="X779" s="2575"/>
      <c r="Y779" s="2575"/>
      <c r="Z779" s="2575"/>
      <c r="AA779" s="2575"/>
      <c r="AB779" s="2575"/>
    </row>
    <row r="780" spans="1:28" s="165" customFormat="1" ht="14.25" customHeight="1">
      <c r="A780" s="187"/>
      <c r="B780" s="2266"/>
      <c r="C780" s="2266"/>
      <c r="D780" s="2266"/>
      <c r="E780" s="2266"/>
      <c r="F780" s="2266"/>
      <c r="G780" s="2267"/>
      <c r="H780" s="268"/>
      <c r="I780" s="216"/>
      <c r="J780" s="122"/>
      <c r="K780" s="121"/>
      <c r="L780" s="1288"/>
      <c r="M780" s="291"/>
      <c r="N780" s="219"/>
      <c r="R780" s="2575"/>
      <c r="S780" s="2575"/>
      <c r="T780" s="2575"/>
      <c r="U780" s="2575"/>
      <c r="V780" s="2575"/>
      <c r="W780" s="2575"/>
      <c r="X780" s="2575"/>
      <c r="Y780" s="2575"/>
      <c r="Z780" s="2575"/>
      <c r="AA780" s="2575"/>
      <c r="AB780" s="2575"/>
    </row>
    <row r="781" spans="1:28" s="165" customFormat="1" ht="14.25" customHeight="1">
      <c r="A781" s="221">
        <v>2</v>
      </c>
      <c r="B781" s="2266" t="s">
        <v>944</v>
      </c>
      <c r="C781" s="2266"/>
      <c r="D781" s="2266"/>
      <c r="E781" s="2266"/>
      <c r="F781" s="2266"/>
      <c r="G781" s="2267"/>
      <c r="H781" s="286"/>
      <c r="I781" s="223"/>
      <c r="J781" s="122"/>
      <c r="K781" s="121"/>
      <c r="L781" s="1288"/>
      <c r="M781" s="229"/>
      <c r="N781" s="219"/>
      <c r="R781" s="2575"/>
      <c r="S781" s="2575"/>
      <c r="T781" s="2575"/>
      <c r="U781" s="2575"/>
      <c r="V781" s="2575"/>
      <c r="W781" s="2575"/>
      <c r="X781" s="2575"/>
      <c r="Y781" s="2575"/>
      <c r="Z781" s="2575"/>
      <c r="AA781" s="2575"/>
      <c r="AB781" s="2575"/>
    </row>
    <row r="782" spans="1:28" s="165" customFormat="1" ht="14.25" customHeight="1">
      <c r="A782" s="221"/>
      <c r="B782" s="2266"/>
      <c r="C782" s="2266"/>
      <c r="D782" s="2266"/>
      <c r="E782" s="2266"/>
      <c r="F782" s="2266"/>
      <c r="G782" s="2267"/>
      <c r="H782" s="286"/>
      <c r="I782" s="225" t="s">
        <v>945</v>
      </c>
      <c r="J782" s="122">
        <f aca="true" t="shared" si="77" ref="J782:L786">J574</f>
        <v>0.49</v>
      </c>
      <c r="K782" s="121">
        <f t="shared" si="77"/>
        <v>0.49</v>
      </c>
      <c r="L782" s="1288">
        <f t="shared" si="77"/>
        <v>0.05601</v>
      </c>
      <c r="M782" s="229">
        <f aca="true" t="shared" si="78" ref="M782:M787">J782+L782</f>
        <v>0.54601</v>
      </c>
      <c r="N782" s="222">
        <f aca="true" t="shared" si="79" ref="N782:N787">K782+L782</f>
        <v>0.54601</v>
      </c>
      <c r="R782" s="2575"/>
      <c r="S782" s="2575"/>
      <c r="T782" s="2575"/>
      <c r="U782" s="2575"/>
      <c r="V782" s="2575"/>
      <c r="W782" s="2575"/>
      <c r="X782" s="2575"/>
      <c r="Y782" s="2575"/>
      <c r="Z782" s="2575"/>
      <c r="AA782" s="2575"/>
      <c r="AB782" s="2575"/>
    </row>
    <row r="783" spans="1:28" s="165" customFormat="1" ht="14.25" customHeight="1">
      <c r="A783" s="221">
        <v>3</v>
      </c>
      <c r="B783" s="207" t="s">
        <v>946</v>
      </c>
      <c r="C783" s="207"/>
      <c r="D783" s="207"/>
      <c r="E783" s="207"/>
      <c r="F783" s="207"/>
      <c r="G783" s="208"/>
      <c r="H783" s="211"/>
      <c r="I783" s="225" t="s">
        <v>945</v>
      </c>
      <c r="J783" s="122">
        <f t="shared" si="77"/>
        <v>0.92</v>
      </c>
      <c r="K783" s="121">
        <f t="shared" si="77"/>
        <v>0.17</v>
      </c>
      <c r="L783" s="1288">
        <f t="shared" si="77"/>
        <v>0.056209999999999996</v>
      </c>
      <c r="M783" s="229">
        <f t="shared" si="78"/>
        <v>0.97621</v>
      </c>
      <c r="N783" s="222">
        <f t="shared" si="79"/>
        <v>0.22621000000000002</v>
      </c>
      <c r="R783" s="2575"/>
      <c r="S783" s="2575"/>
      <c r="T783" s="2575"/>
      <c r="U783" s="2575"/>
      <c r="V783" s="2575"/>
      <c r="W783" s="2575"/>
      <c r="X783" s="2575"/>
      <c r="Y783" s="2575"/>
      <c r="Z783" s="2575"/>
      <c r="AA783" s="2575"/>
      <c r="AB783" s="2575"/>
    </row>
    <row r="784" spans="1:28" s="165" customFormat="1" ht="14.25" customHeight="1">
      <c r="A784" s="221">
        <v>4</v>
      </c>
      <c r="B784" s="207" t="s">
        <v>947</v>
      </c>
      <c r="C784" s="207"/>
      <c r="D784" s="207"/>
      <c r="E784" s="207"/>
      <c r="F784" s="207"/>
      <c r="G784" s="208"/>
      <c r="H784" s="211"/>
      <c r="I784" s="225" t="s">
        <v>945</v>
      </c>
      <c r="J784" s="122">
        <f t="shared" si="77"/>
        <v>2.12</v>
      </c>
      <c r="K784" s="121">
        <f t="shared" si="77"/>
        <v>1.46</v>
      </c>
      <c r="L784" s="1288">
        <f t="shared" si="77"/>
        <v>0.116095</v>
      </c>
      <c r="M784" s="229">
        <f t="shared" si="78"/>
        <v>2.236095</v>
      </c>
      <c r="N784" s="222">
        <f t="shared" si="79"/>
        <v>1.576095</v>
      </c>
      <c r="R784" s="2575"/>
      <c r="S784" s="2575"/>
      <c r="T784" s="2575"/>
      <c r="U784" s="2575"/>
      <c r="V784" s="2575"/>
      <c r="W784" s="2575"/>
      <c r="X784" s="2575"/>
      <c r="Y784" s="2575"/>
      <c r="Z784" s="2575"/>
      <c r="AA784" s="2575"/>
      <c r="AB784" s="2575"/>
    </row>
    <row r="785" spans="1:28" s="165" customFormat="1" ht="14.25" customHeight="1">
      <c r="A785" s="221">
        <v>5</v>
      </c>
      <c r="B785" s="207" t="s">
        <v>948</v>
      </c>
      <c r="C785" s="207"/>
      <c r="D785" s="207"/>
      <c r="E785" s="207"/>
      <c r="F785" s="207"/>
      <c r="G785" s="208"/>
      <c r="H785" s="211"/>
      <c r="I785" s="225" t="s">
        <v>945</v>
      </c>
      <c r="J785" s="122">
        <f t="shared" si="77"/>
        <v>0.82</v>
      </c>
      <c r="K785" s="121">
        <f t="shared" si="77"/>
        <v>0.17</v>
      </c>
      <c r="L785" s="1288">
        <f t="shared" si="77"/>
        <v>0.045937</v>
      </c>
      <c r="M785" s="229">
        <f t="shared" si="78"/>
        <v>0.865937</v>
      </c>
      <c r="N785" s="222">
        <f t="shared" si="79"/>
        <v>0.21593700000000002</v>
      </c>
      <c r="R785" s="2575"/>
      <c r="S785" s="2575"/>
      <c r="T785" s="2575"/>
      <c r="U785" s="2575"/>
      <c r="V785" s="2575"/>
      <c r="W785" s="2575"/>
      <c r="X785" s="2575"/>
      <c r="Y785" s="2575"/>
      <c r="Z785" s="2575"/>
      <c r="AA785" s="2575"/>
      <c r="AB785" s="2575"/>
    </row>
    <row r="786" spans="1:28" s="165" customFormat="1" ht="14.25" customHeight="1">
      <c r="A786" s="221">
        <v>6</v>
      </c>
      <c r="B786" s="207" t="s">
        <v>949</v>
      </c>
      <c r="C786" s="207"/>
      <c r="D786" s="207"/>
      <c r="E786" s="207"/>
      <c r="F786" s="207"/>
      <c r="G786" s="208"/>
      <c r="H786" s="211"/>
      <c r="I786" s="225" t="s">
        <v>945</v>
      </c>
      <c r="J786" s="122">
        <f t="shared" si="77"/>
        <v>0.82</v>
      </c>
      <c r="K786" s="121">
        <f t="shared" si="77"/>
        <v>0.17</v>
      </c>
      <c r="L786" s="1288">
        <f t="shared" si="77"/>
        <v>0.16358199999999998</v>
      </c>
      <c r="M786" s="229">
        <f t="shared" si="78"/>
        <v>0.983582</v>
      </c>
      <c r="N786" s="222">
        <f t="shared" si="79"/>
        <v>0.333582</v>
      </c>
      <c r="R786" s="2575"/>
      <c r="S786" s="2575"/>
      <c r="T786" s="2575"/>
      <c r="U786" s="2575"/>
      <c r="V786" s="2575"/>
      <c r="W786" s="2575"/>
      <c r="X786" s="2575"/>
      <c r="Y786" s="2575"/>
      <c r="Z786" s="2575"/>
      <c r="AA786" s="2575"/>
      <c r="AB786" s="2575"/>
    </row>
    <row r="787" spans="1:28" s="165" customFormat="1" ht="14.25" customHeight="1">
      <c r="A787" s="221">
        <v>7</v>
      </c>
      <c r="B787" s="207" t="s">
        <v>951</v>
      </c>
      <c r="C787" s="207"/>
      <c r="D787" s="207"/>
      <c r="E787" s="207"/>
      <c r="F787" s="207"/>
      <c r="G787" s="208"/>
      <c r="H787" s="211"/>
      <c r="I787" s="225" t="s">
        <v>945</v>
      </c>
      <c r="J787" s="122">
        <f>J580</f>
        <v>1.31</v>
      </c>
      <c r="K787" s="121">
        <f>K580</f>
        <v>0.82</v>
      </c>
      <c r="L787" s="1288">
        <f>L580</f>
        <v>0.0574</v>
      </c>
      <c r="M787" s="229">
        <f t="shared" si="78"/>
        <v>1.3674</v>
      </c>
      <c r="N787" s="222">
        <f t="shared" si="79"/>
        <v>0.8774</v>
      </c>
      <c r="R787" s="2575"/>
      <c r="S787" s="2575"/>
      <c r="T787" s="2575"/>
      <c r="U787" s="2575"/>
      <c r="V787" s="2575"/>
      <c r="W787" s="2575"/>
      <c r="X787" s="2575"/>
      <c r="Y787" s="2575"/>
      <c r="Z787" s="2575"/>
      <c r="AA787" s="2575"/>
      <c r="AB787" s="2575"/>
    </row>
    <row r="788" spans="1:28" s="165" customFormat="1" ht="14.25" customHeight="1">
      <c r="A788" s="124"/>
      <c r="B788" s="278"/>
      <c r="C788" s="278"/>
      <c r="D788" s="284" t="s">
        <v>919</v>
      </c>
      <c r="E788" s="246"/>
      <c r="F788" s="246"/>
      <c r="G788" s="247"/>
      <c r="H788" s="296"/>
      <c r="I788" s="120"/>
      <c r="J788" s="295">
        <f>SUM(J778:J787)</f>
        <v>7.940000000000001</v>
      </c>
      <c r="K788" s="295">
        <f>SUM(K778:K787)</f>
        <v>4.74</v>
      </c>
      <c r="L788" s="1295">
        <f>SUM(L778:L787)</f>
        <v>0.49523399999999995</v>
      </c>
      <c r="M788" s="248">
        <f>SUM(M778:M787)</f>
        <v>8.435234000000001</v>
      </c>
      <c r="N788" s="248">
        <f>SUM(N778:N787)</f>
        <v>5.235233999999999</v>
      </c>
      <c r="R788" s="2575"/>
      <c r="S788" s="2575"/>
      <c r="T788" s="2575"/>
      <c r="U788" s="2575"/>
      <c r="V788" s="2575"/>
      <c r="W788" s="2575"/>
      <c r="X788" s="2575"/>
      <c r="Y788" s="2575"/>
      <c r="Z788" s="2575"/>
      <c r="AA788" s="2575"/>
      <c r="AB788" s="2575"/>
    </row>
    <row r="789" spans="1:28" s="165" customFormat="1" ht="14.25" customHeight="1">
      <c r="A789" s="214">
        <v>7</v>
      </c>
      <c r="B789" s="289" t="s">
        <v>93</v>
      </c>
      <c r="C789" s="149"/>
      <c r="D789" s="149"/>
      <c r="E789" s="149"/>
      <c r="F789" s="149"/>
      <c r="G789" s="219"/>
      <c r="H789" s="123"/>
      <c r="I789" s="122"/>
      <c r="J789" s="219"/>
      <c r="K789" s="219"/>
      <c r="L789" s="1289"/>
      <c r="M789" s="219"/>
      <c r="N789" s="219"/>
      <c r="R789" s="2575"/>
      <c r="S789" s="2575"/>
      <c r="T789" s="2575"/>
      <c r="U789" s="2575"/>
      <c r="V789" s="2575"/>
      <c r="W789" s="2575"/>
      <c r="X789" s="2575"/>
      <c r="Y789" s="2575"/>
      <c r="Z789" s="2575"/>
      <c r="AA789" s="2575"/>
      <c r="AB789" s="2575"/>
    </row>
    <row r="790" spans="1:28" s="165" customFormat="1" ht="14.25" customHeight="1">
      <c r="A790" s="187">
        <v>1</v>
      </c>
      <c r="B790" s="2266" t="s">
        <v>936</v>
      </c>
      <c r="C790" s="2266"/>
      <c r="D790" s="2266"/>
      <c r="E790" s="2266"/>
      <c r="F790" s="2266"/>
      <c r="G790" s="2267"/>
      <c r="H790" s="268"/>
      <c r="I790" s="216"/>
      <c r="J790" s="122"/>
      <c r="K790" s="122"/>
      <c r="L790" s="1288"/>
      <c r="M790" s="229"/>
      <c r="N790" s="219"/>
      <c r="R790" s="2575"/>
      <c r="S790" s="2575"/>
      <c r="T790" s="2575"/>
      <c r="U790" s="2575"/>
      <c r="V790" s="2575"/>
      <c r="W790" s="2575"/>
      <c r="X790" s="2575"/>
      <c r="Y790" s="2575"/>
      <c r="Z790" s="2575"/>
      <c r="AA790" s="2575"/>
      <c r="AB790" s="2575"/>
    </row>
    <row r="791" spans="1:28" s="165" customFormat="1" ht="14.25" customHeight="1">
      <c r="A791" s="221"/>
      <c r="B791" s="2266"/>
      <c r="C791" s="2266"/>
      <c r="D791" s="2266"/>
      <c r="E791" s="2266"/>
      <c r="F791" s="2266"/>
      <c r="G791" s="2267"/>
      <c r="H791" s="268">
        <v>1.2</v>
      </c>
      <c r="I791" s="216" t="s">
        <v>937</v>
      </c>
      <c r="J791" s="122">
        <f>J778</f>
        <v>1.46</v>
      </c>
      <c r="K791" s="121">
        <f>K778</f>
        <v>1.46</v>
      </c>
      <c r="L791" s="1288"/>
      <c r="M791" s="297">
        <f>J791+L791</f>
        <v>1.46</v>
      </c>
      <c r="N791" s="298">
        <f>K791+L791</f>
        <v>1.46</v>
      </c>
      <c r="R791" s="2575"/>
      <c r="S791" s="2575"/>
      <c r="T791" s="2575"/>
      <c r="U791" s="2575"/>
      <c r="V791" s="2575"/>
      <c r="W791" s="2575"/>
      <c r="X791" s="2575"/>
      <c r="Y791" s="2575"/>
      <c r="Z791" s="2575"/>
      <c r="AA791" s="2575"/>
      <c r="AB791" s="2575"/>
    </row>
    <row r="792" spans="1:28" s="165" customFormat="1" ht="14.25" customHeight="1">
      <c r="A792" s="221"/>
      <c r="B792" s="2266"/>
      <c r="C792" s="2266"/>
      <c r="D792" s="2266"/>
      <c r="E792" s="2266"/>
      <c r="F792" s="2266"/>
      <c r="G792" s="2267"/>
      <c r="H792" s="268"/>
      <c r="I792" s="216" t="s">
        <v>938</v>
      </c>
      <c r="J792" s="122"/>
      <c r="K792" s="122"/>
      <c r="L792" s="1288"/>
      <c r="M792" s="297"/>
      <c r="N792" s="219"/>
      <c r="R792" s="2575"/>
      <c r="S792" s="2575"/>
      <c r="T792" s="2575"/>
      <c r="U792" s="2575"/>
      <c r="V792" s="2575"/>
      <c r="W792" s="2575"/>
      <c r="X792" s="2575"/>
      <c r="Y792" s="2575"/>
      <c r="Z792" s="2575"/>
      <c r="AA792" s="2575"/>
      <c r="AB792" s="2575"/>
    </row>
    <row r="793" spans="1:28" s="165" customFormat="1" ht="14.25" customHeight="1">
      <c r="A793" s="221"/>
      <c r="B793" s="2266"/>
      <c r="C793" s="2266"/>
      <c r="D793" s="2266"/>
      <c r="E793" s="2266"/>
      <c r="F793" s="2266"/>
      <c r="G793" s="2267"/>
      <c r="H793" s="268"/>
      <c r="I793" s="216"/>
      <c r="J793" s="122"/>
      <c r="K793" s="122"/>
      <c r="L793" s="1288"/>
      <c r="M793" s="297"/>
      <c r="N793" s="219"/>
      <c r="R793" s="2575"/>
      <c r="S793" s="2575"/>
      <c r="T793" s="2575"/>
      <c r="U793" s="2575"/>
      <c r="V793" s="2575"/>
      <c r="W793" s="2575"/>
      <c r="X793" s="2575"/>
      <c r="Y793" s="2575"/>
      <c r="Z793" s="2575"/>
      <c r="AA793" s="2575"/>
      <c r="AB793" s="2575"/>
    </row>
    <row r="794" spans="1:28" s="165" customFormat="1" ht="14.25" customHeight="1">
      <c r="A794" s="221">
        <v>2</v>
      </c>
      <c r="B794" s="207" t="s">
        <v>875</v>
      </c>
      <c r="C794" s="207"/>
      <c r="D794" s="207"/>
      <c r="E794" s="207"/>
      <c r="F794" s="207"/>
      <c r="G794" s="208"/>
      <c r="H794" s="221">
        <v>1.4</v>
      </c>
      <c r="I794" s="216" t="s">
        <v>873</v>
      </c>
      <c r="J794" s="122">
        <f>J569</f>
        <v>1.63</v>
      </c>
      <c r="K794" s="121">
        <f>K569</f>
        <v>1.63</v>
      </c>
      <c r="L794" s="1288">
        <f>L569</f>
        <v>0.5331999999999999</v>
      </c>
      <c r="M794" s="297">
        <f>J794+L794</f>
        <v>2.1632</v>
      </c>
      <c r="N794" s="297">
        <f>K794+L794</f>
        <v>2.1632</v>
      </c>
      <c r="R794" s="2575"/>
      <c r="S794" s="2575"/>
      <c r="T794" s="2575"/>
      <c r="U794" s="2575"/>
      <c r="V794" s="2575"/>
      <c r="W794" s="2575"/>
      <c r="X794" s="2575"/>
      <c r="Y794" s="2575"/>
      <c r="Z794" s="2575"/>
      <c r="AA794" s="2575"/>
      <c r="AB794" s="2575"/>
    </row>
    <row r="795" spans="1:28" s="165" customFormat="1" ht="14.25" customHeight="1">
      <c r="A795" s="221">
        <v>3</v>
      </c>
      <c r="B795" s="2266" t="s">
        <v>941</v>
      </c>
      <c r="C795" s="2266"/>
      <c r="D795" s="2266"/>
      <c r="E795" s="2266"/>
      <c r="F795" s="2266"/>
      <c r="G795" s="2267"/>
      <c r="H795" s="221">
        <v>1.5</v>
      </c>
      <c r="I795" s="216" t="s">
        <v>873</v>
      </c>
      <c r="J795" s="122">
        <f>J570</f>
        <v>0.97</v>
      </c>
      <c r="K795" s="121">
        <f>K570</f>
        <v>0.97</v>
      </c>
      <c r="L795" s="1288">
        <f>L696</f>
        <v>0.0826</v>
      </c>
      <c r="M795" s="297">
        <f>J795+L795</f>
        <v>1.0526</v>
      </c>
      <c r="N795" s="297">
        <f>K795+L795</f>
        <v>1.0526</v>
      </c>
      <c r="R795" s="2575"/>
      <c r="S795" s="2575"/>
      <c r="T795" s="2575"/>
      <c r="U795" s="2575"/>
      <c r="V795" s="2575"/>
      <c r="W795" s="2575"/>
      <c r="X795" s="2575"/>
      <c r="Y795" s="2575"/>
      <c r="Z795" s="2575"/>
      <c r="AA795" s="2575"/>
      <c r="AB795" s="2575"/>
    </row>
    <row r="796" spans="1:28" s="165" customFormat="1" ht="14.25" customHeight="1">
      <c r="A796" s="221"/>
      <c r="B796" s="2266"/>
      <c r="C796" s="2266"/>
      <c r="D796" s="2266"/>
      <c r="E796" s="2266"/>
      <c r="F796" s="2266"/>
      <c r="G796" s="2267"/>
      <c r="H796" s="221"/>
      <c r="I796" s="216"/>
      <c r="J796" s="122"/>
      <c r="K796" s="122"/>
      <c r="L796" s="1288"/>
      <c r="M796" s="297"/>
      <c r="N796" s="297"/>
      <c r="R796" s="2575"/>
      <c r="S796" s="2575"/>
      <c r="T796" s="2575"/>
      <c r="U796" s="2575"/>
      <c r="V796" s="2575"/>
      <c r="W796" s="2575"/>
      <c r="X796" s="2575"/>
      <c r="Y796" s="2575"/>
      <c r="Z796" s="2575"/>
      <c r="AA796" s="2575"/>
      <c r="AB796" s="2575"/>
    </row>
    <row r="797" spans="1:28" s="165" customFormat="1" ht="14.25" customHeight="1">
      <c r="A797" s="187">
        <v>4</v>
      </c>
      <c r="B797" s="2266" t="s">
        <v>15</v>
      </c>
      <c r="C797" s="2266"/>
      <c r="D797" s="2266"/>
      <c r="E797" s="2266"/>
      <c r="F797" s="2266"/>
      <c r="G797" s="2267"/>
      <c r="H797" s="268" t="s">
        <v>94</v>
      </c>
      <c r="I797" s="225" t="s">
        <v>945</v>
      </c>
      <c r="J797" s="119">
        <f>J606</f>
        <v>1.79</v>
      </c>
      <c r="K797" s="121">
        <f>K606</f>
        <v>0.65</v>
      </c>
      <c r="L797" s="1288">
        <f>L606</f>
        <v>0.29</v>
      </c>
      <c r="M797" s="297">
        <f>J797+L797</f>
        <v>2.08</v>
      </c>
      <c r="N797" s="297">
        <f>K797+L797</f>
        <v>0.94</v>
      </c>
      <c r="R797" s="2575"/>
      <c r="S797" s="2575"/>
      <c r="T797" s="2575"/>
      <c r="U797" s="2575"/>
      <c r="V797" s="2575"/>
      <c r="W797" s="2575"/>
      <c r="X797" s="2575"/>
      <c r="Y797" s="2575"/>
      <c r="Z797" s="2575"/>
      <c r="AA797" s="2575"/>
      <c r="AB797" s="2575"/>
    </row>
    <row r="798" spans="1:28" s="165" customFormat="1" ht="14.25" customHeight="1">
      <c r="A798" s="187"/>
      <c r="B798" s="2266"/>
      <c r="C798" s="2266"/>
      <c r="D798" s="2266"/>
      <c r="E798" s="2266"/>
      <c r="F798" s="2266"/>
      <c r="G798" s="2267"/>
      <c r="H798" s="286"/>
      <c r="I798" s="122"/>
      <c r="J798" s="219"/>
      <c r="K798" s="219"/>
      <c r="L798" s="1289"/>
      <c r="M798" s="509"/>
      <c r="N798" s="509"/>
      <c r="R798" s="2575"/>
      <c r="S798" s="2575"/>
      <c r="T798" s="2575"/>
      <c r="U798" s="2575"/>
      <c r="V798" s="2575"/>
      <c r="W798" s="2575"/>
      <c r="X798" s="2575"/>
      <c r="Y798" s="2575"/>
      <c r="Z798" s="2575"/>
      <c r="AA798" s="2575"/>
      <c r="AB798" s="2575"/>
    </row>
    <row r="799" spans="1:28" s="165" customFormat="1" ht="14.25" customHeight="1">
      <c r="A799" s="124"/>
      <c r="B799" s="278"/>
      <c r="C799" s="278"/>
      <c r="D799" s="284" t="s">
        <v>919</v>
      </c>
      <c r="E799" s="246"/>
      <c r="F799" s="246"/>
      <c r="G799" s="247"/>
      <c r="H799" s="296"/>
      <c r="I799" s="120"/>
      <c r="J799" s="295">
        <f>SUM(J789:J798)</f>
        <v>5.85</v>
      </c>
      <c r="K799" s="295">
        <f>SUM(K789:K798)</f>
        <v>4.71</v>
      </c>
      <c r="L799" s="1295">
        <f>SUM(L789:L798)</f>
        <v>0.9057999999999999</v>
      </c>
      <c r="M799" s="248">
        <f>SUM(M789:M798)</f>
        <v>6.7558</v>
      </c>
      <c r="N799" s="281">
        <f>SUM(N789:N798)</f>
        <v>5.6158</v>
      </c>
      <c r="R799" s="2575"/>
      <c r="S799" s="2575"/>
      <c r="T799" s="2575"/>
      <c r="U799" s="2575"/>
      <c r="V799" s="2575"/>
      <c r="W799" s="2575"/>
      <c r="X799" s="2575"/>
      <c r="Y799" s="2575"/>
      <c r="Z799" s="2575"/>
      <c r="AA799" s="2575"/>
      <c r="AB799" s="2575"/>
    </row>
    <row r="800" spans="1:28" s="165" customFormat="1" ht="14.25" customHeight="1">
      <c r="A800" s="214">
        <v>8</v>
      </c>
      <c r="B800" s="2355" t="s">
        <v>95</v>
      </c>
      <c r="C800" s="2355"/>
      <c r="D800" s="2355"/>
      <c r="E800" s="2355"/>
      <c r="F800" s="2355"/>
      <c r="G800" s="2355"/>
      <c r="H800" s="123"/>
      <c r="I800" s="119"/>
      <c r="J800" s="123"/>
      <c r="K800" s="149"/>
      <c r="L800" s="1297"/>
      <c r="M800" s="123"/>
      <c r="N800" s="219"/>
      <c r="R800" s="2575"/>
      <c r="S800" s="2575"/>
      <c r="T800" s="2575"/>
      <c r="U800" s="2575"/>
      <c r="V800" s="2575"/>
      <c r="W800" s="2575"/>
      <c r="X800" s="2575"/>
      <c r="Y800" s="2575"/>
      <c r="Z800" s="2575"/>
      <c r="AA800" s="2575"/>
      <c r="AB800" s="2575"/>
    </row>
    <row r="801" spans="1:28" s="165" customFormat="1" ht="14.25" customHeight="1">
      <c r="A801" s="187"/>
      <c r="B801" s="2355"/>
      <c r="C801" s="2355"/>
      <c r="D801" s="2355"/>
      <c r="E801" s="2355"/>
      <c r="F801" s="2355"/>
      <c r="G801" s="2355"/>
      <c r="H801" s="123"/>
      <c r="I801" s="119"/>
      <c r="J801" s="123"/>
      <c r="K801" s="149"/>
      <c r="L801" s="1297"/>
      <c r="M801" s="123"/>
      <c r="N801" s="219"/>
      <c r="R801" s="2575"/>
      <c r="S801" s="2575"/>
      <c r="T801" s="2575"/>
      <c r="U801" s="2575"/>
      <c r="V801" s="2575"/>
      <c r="W801" s="2575"/>
      <c r="X801" s="2575"/>
      <c r="Y801" s="2575"/>
      <c r="Z801" s="2575"/>
      <c r="AA801" s="2575"/>
      <c r="AB801" s="2575"/>
    </row>
    <row r="802" spans="1:28" s="165" customFormat="1" ht="14.25" customHeight="1">
      <c r="A802" s="187"/>
      <c r="B802" s="2355"/>
      <c r="C802" s="2355"/>
      <c r="D802" s="2355"/>
      <c r="E802" s="2355"/>
      <c r="F802" s="2355"/>
      <c r="G802" s="2355"/>
      <c r="H802" s="123"/>
      <c r="I802" s="119"/>
      <c r="J802" s="123"/>
      <c r="K802" s="149"/>
      <c r="L802" s="1297"/>
      <c r="M802" s="123"/>
      <c r="N802" s="219"/>
      <c r="R802" s="2575"/>
      <c r="S802" s="2575"/>
      <c r="T802" s="2575"/>
      <c r="U802" s="2575"/>
      <c r="V802" s="2575"/>
      <c r="W802" s="2575"/>
      <c r="X802" s="2575"/>
      <c r="Y802" s="2575"/>
      <c r="Z802" s="2575"/>
      <c r="AA802" s="2575"/>
      <c r="AB802" s="2575"/>
    </row>
    <row r="803" spans="1:28" s="165" customFormat="1" ht="14.25" customHeight="1">
      <c r="A803" s="187">
        <v>1</v>
      </c>
      <c r="B803" s="2266" t="s">
        <v>936</v>
      </c>
      <c r="C803" s="2266"/>
      <c r="D803" s="2266"/>
      <c r="E803" s="2266"/>
      <c r="F803" s="2266"/>
      <c r="G803" s="2266"/>
      <c r="H803" s="268"/>
      <c r="I803" s="216"/>
      <c r="J803" s="121"/>
      <c r="K803" s="122"/>
      <c r="L803" s="1287"/>
      <c r="M803" s="213"/>
      <c r="N803" s="219"/>
      <c r="R803" s="2575"/>
      <c r="S803" s="2575"/>
      <c r="T803" s="2575"/>
      <c r="U803" s="2575"/>
      <c r="V803" s="2575"/>
      <c r="W803" s="2575"/>
      <c r="X803" s="2575"/>
      <c r="Y803" s="2575"/>
      <c r="Z803" s="2575"/>
      <c r="AA803" s="2575"/>
      <c r="AB803" s="2575"/>
    </row>
    <row r="804" spans="1:28" s="165" customFormat="1" ht="14.25" customHeight="1">
      <c r="A804" s="221"/>
      <c r="B804" s="2266"/>
      <c r="C804" s="2266"/>
      <c r="D804" s="2266"/>
      <c r="E804" s="2266"/>
      <c r="F804" s="2266"/>
      <c r="G804" s="2266"/>
      <c r="H804" s="268">
        <v>1.2</v>
      </c>
      <c r="I804" s="216" t="s">
        <v>937</v>
      </c>
      <c r="J804" s="121">
        <f>J791</f>
        <v>1.46</v>
      </c>
      <c r="K804" s="121">
        <f>K791</f>
        <v>1.46</v>
      </c>
      <c r="L804" s="1287"/>
      <c r="M804" s="269">
        <f>J804+L804</f>
        <v>1.46</v>
      </c>
      <c r="N804" s="270">
        <f>K804+L804</f>
        <v>1.46</v>
      </c>
      <c r="R804" s="2575"/>
      <c r="S804" s="2575"/>
      <c r="T804" s="2575"/>
      <c r="U804" s="2575"/>
      <c r="V804" s="2575"/>
      <c r="W804" s="2575"/>
      <c r="X804" s="2575"/>
      <c r="Y804" s="2575"/>
      <c r="Z804" s="2575"/>
      <c r="AA804" s="2575"/>
      <c r="AB804" s="2575"/>
    </row>
    <row r="805" spans="1:28" s="165" customFormat="1" ht="14.25" customHeight="1">
      <c r="A805" s="221"/>
      <c r="B805" s="2266"/>
      <c r="C805" s="2266"/>
      <c r="D805" s="2266"/>
      <c r="E805" s="2266"/>
      <c r="F805" s="2266"/>
      <c r="G805" s="2266"/>
      <c r="H805" s="268"/>
      <c r="I805" s="216" t="s">
        <v>938</v>
      </c>
      <c r="J805" s="121"/>
      <c r="K805" s="122"/>
      <c r="L805" s="1287"/>
      <c r="M805" s="269"/>
      <c r="N805" s="219"/>
      <c r="R805" s="2575"/>
      <c r="S805" s="2575"/>
      <c r="T805" s="2575"/>
      <c r="U805" s="2575"/>
      <c r="V805" s="2575"/>
      <c r="W805" s="2575"/>
      <c r="X805" s="2575"/>
      <c r="Y805" s="2575"/>
      <c r="Z805" s="2575"/>
      <c r="AA805" s="2575"/>
      <c r="AB805" s="2575"/>
    </row>
    <row r="806" spans="1:28" s="165" customFormat="1" ht="14.25" customHeight="1">
      <c r="A806" s="221"/>
      <c r="B806" s="2266"/>
      <c r="C806" s="2266"/>
      <c r="D806" s="2266"/>
      <c r="E806" s="2266"/>
      <c r="F806" s="2266"/>
      <c r="G806" s="2266"/>
      <c r="H806" s="268"/>
      <c r="I806" s="216"/>
      <c r="J806" s="121"/>
      <c r="K806" s="122"/>
      <c r="L806" s="1287"/>
      <c r="M806" s="269"/>
      <c r="N806" s="219"/>
      <c r="R806" s="2575"/>
      <c r="S806" s="2575"/>
      <c r="T806" s="2575"/>
      <c r="U806" s="2575"/>
      <c r="V806" s="2575"/>
      <c r="W806" s="2575"/>
      <c r="X806" s="2575"/>
      <c r="Y806" s="2575"/>
      <c r="Z806" s="2575"/>
      <c r="AA806" s="2575"/>
      <c r="AB806" s="2575"/>
    </row>
    <row r="807" spans="1:28" s="165" customFormat="1" ht="14.25" customHeight="1">
      <c r="A807" s="221">
        <v>2</v>
      </c>
      <c r="B807" s="207" t="s">
        <v>875</v>
      </c>
      <c r="C807" s="207"/>
      <c r="D807" s="207"/>
      <c r="E807" s="207"/>
      <c r="F807" s="207"/>
      <c r="G807" s="207"/>
      <c r="H807" s="221">
        <v>1.4</v>
      </c>
      <c r="I807" s="216" t="s">
        <v>873</v>
      </c>
      <c r="J807" s="121">
        <f>J794</f>
        <v>1.63</v>
      </c>
      <c r="K807" s="121">
        <f>K794</f>
        <v>1.63</v>
      </c>
      <c r="L807" s="1287">
        <f>L794</f>
        <v>0.5331999999999999</v>
      </c>
      <c r="M807" s="269">
        <f>J807+L807</f>
        <v>2.1632</v>
      </c>
      <c r="N807" s="270">
        <f>K807+L807</f>
        <v>2.1632</v>
      </c>
      <c r="R807" s="2575"/>
      <c r="S807" s="2575"/>
      <c r="T807" s="2575"/>
      <c r="U807" s="2575"/>
      <c r="V807" s="2575"/>
      <c r="W807" s="2575"/>
      <c r="X807" s="2575"/>
      <c r="Y807" s="2575"/>
      <c r="Z807" s="2575"/>
      <c r="AA807" s="2575"/>
      <c r="AB807" s="2575"/>
    </row>
    <row r="808" spans="1:28" s="165" customFormat="1" ht="14.25" customHeight="1">
      <c r="A808" s="221">
        <v>3</v>
      </c>
      <c r="B808" s="2266" t="s">
        <v>941</v>
      </c>
      <c r="C808" s="2266"/>
      <c r="D808" s="2266"/>
      <c r="E808" s="2266"/>
      <c r="F808" s="2266"/>
      <c r="G808" s="2266"/>
      <c r="H808" s="221">
        <v>1.5</v>
      </c>
      <c r="I808" s="216" t="s">
        <v>873</v>
      </c>
      <c r="J808" s="121">
        <f>J795</f>
        <v>0.97</v>
      </c>
      <c r="K808" s="121">
        <f>K795</f>
        <v>0.97</v>
      </c>
      <c r="L808" s="1287">
        <f>L696</f>
        <v>0.0826</v>
      </c>
      <c r="M808" s="269">
        <f>J808+L808</f>
        <v>1.0526</v>
      </c>
      <c r="N808" s="270">
        <f>K808+L808</f>
        <v>1.0526</v>
      </c>
      <c r="R808" s="2575"/>
      <c r="S808" s="2575"/>
      <c r="T808" s="2575"/>
      <c r="U808" s="2575"/>
      <c r="V808" s="2575"/>
      <c r="W808" s="2575"/>
      <c r="X808" s="2575"/>
      <c r="Y808" s="2575"/>
      <c r="Z808" s="2575"/>
      <c r="AA808" s="2575"/>
      <c r="AB808" s="2575"/>
    </row>
    <row r="809" spans="1:28" s="165" customFormat="1" ht="14.25" customHeight="1">
      <c r="A809" s="221"/>
      <c r="B809" s="2266"/>
      <c r="C809" s="2266"/>
      <c r="D809" s="2266"/>
      <c r="E809" s="2266"/>
      <c r="F809" s="2266"/>
      <c r="G809" s="2266"/>
      <c r="H809" s="221"/>
      <c r="I809" s="216"/>
      <c r="J809" s="121"/>
      <c r="K809" s="122"/>
      <c r="L809" s="1287"/>
      <c r="M809" s="269"/>
      <c r="N809" s="270"/>
      <c r="R809" s="2575"/>
      <c r="S809" s="2575"/>
      <c r="T809" s="2575"/>
      <c r="U809" s="2575"/>
      <c r="V809" s="2575"/>
      <c r="W809" s="2575"/>
      <c r="X809" s="2575"/>
      <c r="Y809" s="2575"/>
      <c r="Z809" s="2575"/>
      <c r="AA809" s="2575"/>
      <c r="AB809" s="2575"/>
    </row>
    <row r="810" spans="1:28" s="165" customFormat="1" ht="14.25" customHeight="1">
      <c r="A810" s="221">
        <v>4.6</v>
      </c>
      <c r="B810" s="2266" t="s">
        <v>12</v>
      </c>
      <c r="C810" s="2266"/>
      <c r="D810" s="2266"/>
      <c r="E810" s="2266"/>
      <c r="F810" s="2266"/>
      <c r="G810" s="2266"/>
      <c r="H810" s="300"/>
      <c r="I810" s="225"/>
      <c r="J810" s="121"/>
      <c r="K810" s="122"/>
      <c r="L810" s="1287"/>
      <c r="M810" s="213"/>
      <c r="N810" s="229"/>
      <c r="R810" s="2575"/>
      <c r="S810" s="2575"/>
      <c r="T810" s="2575"/>
      <c r="U810" s="2575"/>
      <c r="V810" s="2575"/>
      <c r="W810" s="2575"/>
      <c r="X810" s="2575"/>
      <c r="Y810" s="2575"/>
      <c r="Z810" s="2575"/>
      <c r="AA810" s="2575"/>
      <c r="AB810" s="2575"/>
    </row>
    <row r="811" spans="1:28" s="165" customFormat="1" ht="14.25" customHeight="1">
      <c r="A811" s="221"/>
      <c r="B811" s="2266"/>
      <c r="C811" s="2266"/>
      <c r="D811" s="2266"/>
      <c r="E811" s="2266"/>
      <c r="F811" s="2266"/>
      <c r="G811" s="2266"/>
      <c r="H811" s="300"/>
      <c r="I811" s="225"/>
      <c r="J811" s="121"/>
      <c r="K811" s="122"/>
      <c r="L811" s="1287"/>
      <c r="M811" s="227"/>
      <c r="N811" s="228"/>
      <c r="R811" s="2575"/>
      <c r="S811" s="2575"/>
      <c r="T811" s="2575"/>
      <c r="U811" s="2575"/>
      <c r="V811" s="2575"/>
      <c r="W811" s="2575"/>
      <c r="X811" s="2575"/>
      <c r="Y811" s="2575"/>
      <c r="Z811" s="2575"/>
      <c r="AA811" s="2575"/>
      <c r="AB811" s="2575"/>
    </row>
    <row r="812" spans="1:28" s="165" customFormat="1" ht="14.25" customHeight="1">
      <c r="A812" s="221"/>
      <c r="B812" s="2266"/>
      <c r="C812" s="2266"/>
      <c r="D812" s="2266"/>
      <c r="E812" s="2266"/>
      <c r="F812" s="2266"/>
      <c r="G812" s="2266"/>
      <c r="H812" s="300"/>
      <c r="I812" s="225"/>
      <c r="J812" s="121"/>
      <c r="K812" s="122"/>
      <c r="L812" s="1287"/>
      <c r="M812" s="213"/>
      <c r="N812" s="229"/>
      <c r="R812" s="2575"/>
      <c r="S812" s="2575"/>
      <c r="T812" s="2575"/>
      <c r="U812" s="2575"/>
      <c r="V812" s="2575"/>
      <c r="W812" s="2575"/>
      <c r="X812" s="2575"/>
      <c r="Y812" s="2575"/>
      <c r="Z812" s="2575"/>
      <c r="AA812" s="2575"/>
      <c r="AB812" s="2575"/>
    </row>
    <row r="813" spans="1:28" s="165" customFormat="1" ht="14.25" customHeight="1">
      <c r="A813" s="221"/>
      <c r="B813" s="197"/>
      <c r="C813" s="197"/>
      <c r="D813" s="197"/>
      <c r="E813" s="2367" t="s">
        <v>13</v>
      </c>
      <c r="F813" s="2367"/>
      <c r="G813" s="2367"/>
      <c r="H813" s="268" t="s">
        <v>96</v>
      </c>
      <c r="I813" s="225" t="s">
        <v>945</v>
      </c>
      <c r="J813" s="121">
        <f aca="true" t="shared" si="80" ref="J813:L814">J604</f>
        <v>2.77</v>
      </c>
      <c r="K813" s="121">
        <f t="shared" si="80"/>
        <v>1.31</v>
      </c>
      <c r="L813" s="1287">
        <f t="shared" si="80"/>
        <v>2.6761999999999996E-05</v>
      </c>
      <c r="M813" s="227">
        <f>J813+L813</f>
        <v>2.770026762</v>
      </c>
      <c r="N813" s="228">
        <f>K813+L813</f>
        <v>1.3100267620000001</v>
      </c>
      <c r="R813" s="2575"/>
      <c r="S813" s="2575"/>
      <c r="T813" s="2575"/>
      <c r="U813" s="2575"/>
      <c r="V813" s="2575"/>
      <c r="W813" s="2575"/>
      <c r="X813" s="2575"/>
      <c r="Y813" s="2575"/>
      <c r="Z813" s="2575"/>
      <c r="AA813" s="2575"/>
      <c r="AB813" s="2575"/>
    </row>
    <row r="814" spans="1:28" s="165" customFormat="1" ht="14.25" customHeight="1">
      <c r="A814" s="221"/>
      <c r="B814" s="197"/>
      <c r="C814" s="197"/>
      <c r="D814" s="197"/>
      <c r="E814" s="2367" t="s">
        <v>14</v>
      </c>
      <c r="F814" s="2367"/>
      <c r="G814" s="2367"/>
      <c r="H814" s="268" t="s">
        <v>97</v>
      </c>
      <c r="I814" s="225" t="s">
        <v>945</v>
      </c>
      <c r="J814" s="121">
        <f t="shared" si="80"/>
        <v>2.31</v>
      </c>
      <c r="K814" s="121">
        <f t="shared" si="80"/>
        <v>1.085</v>
      </c>
      <c r="L814" s="1287">
        <f t="shared" si="80"/>
        <v>1.5368999999999998E-05</v>
      </c>
      <c r="M814" s="227">
        <f>J814+L814</f>
        <v>2.3100153690000003</v>
      </c>
      <c r="N814" s="228">
        <f>K814+L814</f>
        <v>1.085015369</v>
      </c>
      <c r="R814" s="2575"/>
      <c r="S814" s="2575"/>
      <c r="T814" s="2575"/>
      <c r="U814" s="2575"/>
      <c r="V814" s="2575"/>
      <c r="W814" s="2575"/>
      <c r="X814" s="2575"/>
      <c r="Y814" s="2575"/>
      <c r="Z814" s="2575"/>
      <c r="AA814" s="2575"/>
      <c r="AB814" s="2575"/>
    </row>
    <row r="815" spans="1:28" s="165" customFormat="1" ht="14.25" customHeight="1">
      <c r="A815" s="187"/>
      <c r="B815" s="149"/>
      <c r="C815" s="149"/>
      <c r="D815" s="274" t="s">
        <v>919</v>
      </c>
      <c r="E815" s="149"/>
      <c r="F815" s="149"/>
      <c r="G815" s="149"/>
      <c r="H815" s="301"/>
      <c r="I815" s="119"/>
      <c r="J815" s="123"/>
      <c r="K815" s="149"/>
      <c r="L815" s="1297"/>
      <c r="M815" s="123"/>
      <c r="N815" s="219"/>
      <c r="R815" s="2575"/>
      <c r="S815" s="2575"/>
      <c r="T815" s="2575"/>
      <c r="U815" s="2575"/>
      <c r="V815" s="2575"/>
      <c r="W815" s="2575"/>
      <c r="X815" s="2575"/>
      <c r="Y815" s="2575"/>
      <c r="Z815" s="2575"/>
      <c r="AA815" s="2575"/>
      <c r="AB815" s="2575"/>
    </row>
    <row r="816" spans="1:28" s="165" customFormat="1" ht="14.25" customHeight="1">
      <c r="A816" s="124"/>
      <c r="B816" s="278"/>
      <c r="C816" s="278"/>
      <c r="D816" s="284"/>
      <c r="E816" s="2292" t="str">
        <f>E813</f>
        <v>альфа-холестерин</v>
      </c>
      <c r="F816" s="2292"/>
      <c r="G816" s="2292"/>
      <c r="H816" s="296"/>
      <c r="I816" s="120"/>
      <c r="J816" s="302">
        <f>SUM(J804:J813)</f>
        <v>6.83</v>
      </c>
      <c r="K816" s="303">
        <f>SUM(K804:K813)</f>
        <v>5.369999999999999</v>
      </c>
      <c r="L816" s="1298">
        <f>SUM(L804:L813)</f>
        <v>0.6158267619999999</v>
      </c>
      <c r="M816" s="280">
        <f>SUM(M804:M813)</f>
        <v>7.445826761999999</v>
      </c>
      <c r="N816" s="281">
        <f>SUM(N804:N813)</f>
        <v>5.985826762</v>
      </c>
      <c r="R816" s="2575"/>
      <c r="S816" s="2575"/>
      <c r="T816" s="2575"/>
      <c r="U816" s="2575"/>
      <c r="V816" s="2575"/>
      <c r="W816" s="2575"/>
      <c r="X816" s="2575"/>
      <c r="Y816" s="2575"/>
      <c r="Z816" s="2575"/>
      <c r="AA816" s="2575"/>
      <c r="AB816" s="2575"/>
    </row>
    <row r="817" spans="1:28" s="165" customFormat="1" ht="15.75">
      <c r="A817" s="124"/>
      <c r="B817" s="278"/>
      <c r="C817" s="278"/>
      <c r="D817" s="284"/>
      <c r="E817" s="2292" t="str">
        <f>E814</f>
        <v>ЛНП-холестерин</v>
      </c>
      <c r="F817" s="2292"/>
      <c r="G817" s="2292"/>
      <c r="H817" s="296"/>
      <c r="I817" s="120"/>
      <c r="J817" s="302">
        <f>SUM(J804:J814)-J813</f>
        <v>6.370000000000001</v>
      </c>
      <c r="K817" s="303">
        <f>SUM(K804:K814)-K813</f>
        <v>5.145</v>
      </c>
      <c r="L817" s="304">
        <f>SUM(L804:L814)-L813</f>
        <v>0.6158153689999999</v>
      </c>
      <c r="M817" s="280">
        <f>SUM(M804:M814)-M813</f>
        <v>6.985815368999999</v>
      </c>
      <c r="N817" s="281">
        <f>SUM(N804:N814)-N813</f>
        <v>5.7608153689999995</v>
      </c>
      <c r="R817" s="2575"/>
      <c r="S817" s="2575"/>
      <c r="T817" s="2575"/>
      <c r="U817" s="2575"/>
      <c r="V817" s="2575"/>
      <c r="W817" s="2575"/>
      <c r="X817" s="2575"/>
      <c r="Y817" s="2575"/>
      <c r="Z817" s="2575"/>
      <c r="AA817" s="2575"/>
      <c r="AB817" s="2575"/>
    </row>
    <row r="818" spans="1:28" s="165" customFormat="1" ht="14.25" customHeight="1">
      <c r="A818" s="148"/>
      <c r="B818" s="149"/>
      <c r="C818" s="149"/>
      <c r="D818" s="149"/>
      <c r="E818" s="149"/>
      <c r="F818" s="149"/>
      <c r="G818" s="149"/>
      <c r="H818" s="149"/>
      <c r="I818" s="119"/>
      <c r="J818" s="150"/>
      <c r="K818" s="150"/>
      <c r="L818" s="256"/>
      <c r="M818" s="150"/>
      <c r="N818" s="150"/>
      <c r="R818" s="2575"/>
      <c r="S818" s="2575"/>
      <c r="T818" s="2575"/>
      <c r="U818" s="2575"/>
      <c r="V818" s="2575"/>
      <c r="W818" s="2575"/>
      <c r="X818" s="2575"/>
      <c r="Y818" s="2575"/>
      <c r="Z818" s="2575"/>
      <c r="AA818" s="2575"/>
      <c r="AB818" s="2575"/>
    </row>
    <row r="819" spans="1:28" s="165" customFormat="1" ht="14.25" customHeight="1">
      <c r="A819" s="245" t="str">
        <f>A675</f>
        <v>Бухгалтер</v>
      </c>
      <c r="B819" s="149"/>
      <c r="C819" s="149"/>
      <c r="D819" s="149"/>
      <c r="E819" s="149"/>
      <c r="F819" s="149"/>
      <c r="G819" s="149"/>
      <c r="H819" s="149"/>
      <c r="I819" s="119"/>
      <c r="J819" s="150"/>
      <c r="K819" s="150"/>
      <c r="L819" s="256"/>
      <c r="M819" s="245">
        <f>K675</f>
        <v>0</v>
      </c>
      <c r="N819" s="150"/>
      <c r="R819" s="2575"/>
      <c r="S819" s="2575"/>
      <c r="T819" s="2575"/>
      <c r="U819" s="2575"/>
      <c r="V819" s="2575"/>
      <c r="W819" s="2575"/>
      <c r="X819" s="2575"/>
      <c r="Y819" s="2575"/>
      <c r="Z819" s="2575"/>
      <c r="AA819" s="2575"/>
      <c r="AB819" s="2575"/>
    </row>
    <row r="820" spans="1:28" s="165" customFormat="1" ht="14.25" customHeight="1">
      <c r="A820" s="245"/>
      <c r="B820" s="149"/>
      <c r="C820" s="149"/>
      <c r="D820" s="149"/>
      <c r="E820" s="149"/>
      <c r="F820" s="149"/>
      <c r="G820" s="149"/>
      <c r="H820" s="149"/>
      <c r="I820" s="119"/>
      <c r="J820" s="150"/>
      <c r="K820" s="150"/>
      <c r="L820" s="256"/>
      <c r="M820" s="245"/>
      <c r="N820" s="150"/>
      <c r="R820" s="2575"/>
      <c r="S820" s="2575"/>
      <c r="T820" s="2575"/>
      <c r="U820" s="2575"/>
      <c r="V820" s="2575"/>
      <c r="W820" s="2575"/>
      <c r="X820" s="2575"/>
      <c r="Y820" s="2575"/>
      <c r="Z820" s="2575"/>
      <c r="AA820" s="2575"/>
      <c r="AB820" s="2575"/>
    </row>
    <row r="821" spans="1:28" s="165" customFormat="1" ht="14.25" customHeight="1">
      <c r="A821" s="245"/>
      <c r="B821" s="149"/>
      <c r="C821" s="149"/>
      <c r="D821" s="149"/>
      <c r="E821" s="149"/>
      <c r="F821" s="149"/>
      <c r="G821" s="149"/>
      <c r="H821" s="149"/>
      <c r="I821" s="119"/>
      <c r="J821" s="150"/>
      <c r="K821" s="150"/>
      <c r="L821" s="256"/>
      <c r="M821" s="245"/>
      <c r="N821" s="150"/>
      <c r="R821" s="2575"/>
      <c r="S821" s="2575"/>
      <c r="T821" s="2575"/>
      <c r="U821" s="2575"/>
      <c r="V821" s="2575"/>
      <c r="W821" s="2575"/>
      <c r="X821" s="2575"/>
      <c r="Y821" s="2575"/>
      <c r="Z821" s="2575"/>
      <c r="AA821" s="2575"/>
      <c r="AB821" s="2575"/>
    </row>
    <row r="822" spans="1:28" s="165" customFormat="1" ht="14.25" customHeight="1">
      <c r="A822" s="245"/>
      <c r="B822" s="149"/>
      <c r="C822" s="149"/>
      <c r="D822" s="149"/>
      <c r="E822" s="149"/>
      <c r="F822" s="149"/>
      <c r="G822" s="149"/>
      <c r="H822" s="149"/>
      <c r="I822" s="119"/>
      <c r="J822" s="150"/>
      <c r="K822" s="150"/>
      <c r="L822" s="256"/>
      <c r="M822" s="245"/>
      <c r="N822" s="150"/>
      <c r="R822" s="2575"/>
      <c r="S822" s="2575"/>
      <c r="T822" s="2575"/>
      <c r="U822" s="2575"/>
      <c r="V822" s="2575"/>
      <c r="W822" s="2575"/>
      <c r="X822" s="2575"/>
      <c r="Y822" s="2575"/>
      <c r="Z822" s="2575"/>
      <c r="AA822" s="2575"/>
      <c r="AB822" s="2575"/>
    </row>
    <row r="823" spans="1:28" s="165" customFormat="1" ht="14.25" customHeight="1">
      <c r="A823" s="245"/>
      <c r="B823" s="149"/>
      <c r="C823" s="149"/>
      <c r="D823" s="149"/>
      <c r="E823" s="149"/>
      <c r="F823" s="149"/>
      <c r="G823" s="149"/>
      <c r="H823" s="149"/>
      <c r="I823" s="119"/>
      <c r="J823" s="150"/>
      <c r="K823" s="150"/>
      <c r="L823" s="256"/>
      <c r="M823" s="245"/>
      <c r="N823" s="150"/>
      <c r="R823" s="2575"/>
      <c r="S823" s="2575"/>
      <c r="T823" s="2575"/>
      <c r="U823" s="2575"/>
      <c r="V823" s="2575"/>
      <c r="W823" s="2575"/>
      <c r="X823" s="2575"/>
      <c r="Y823" s="2575"/>
      <c r="Z823" s="2575"/>
      <c r="AA823" s="2575"/>
      <c r="AB823" s="2575"/>
    </row>
    <row r="824" spans="1:28" s="165" customFormat="1" ht="14.25" customHeight="1">
      <c r="A824" s="245"/>
      <c r="B824" s="149"/>
      <c r="C824" s="149"/>
      <c r="D824" s="149"/>
      <c r="E824" s="149"/>
      <c r="F824" s="149"/>
      <c r="G824" s="149"/>
      <c r="H824" s="149"/>
      <c r="I824" s="119"/>
      <c r="J824" s="150"/>
      <c r="K824" s="150"/>
      <c r="L824" s="256"/>
      <c r="M824" s="245"/>
      <c r="N824" s="150"/>
      <c r="R824" s="2575"/>
      <c r="S824" s="2575"/>
      <c r="T824" s="2575"/>
      <c r="U824" s="2575"/>
      <c r="V824" s="2575"/>
      <c r="W824" s="2575"/>
      <c r="X824" s="2575"/>
      <c r="Y824" s="2575"/>
      <c r="Z824" s="2575"/>
      <c r="AA824" s="2575"/>
      <c r="AB824" s="2575"/>
    </row>
    <row r="825" spans="1:28" s="165" customFormat="1" ht="14.25" customHeight="1">
      <c r="A825" s="245"/>
      <c r="B825" s="149"/>
      <c r="C825" s="149"/>
      <c r="D825" s="149"/>
      <c r="E825" s="149"/>
      <c r="F825" s="149"/>
      <c r="G825" s="149"/>
      <c r="H825" s="149"/>
      <c r="I825" s="119"/>
      <c r="J825" s="150"/>
      <c r="K825" s="150"/>
      <c r="L825" s="256"/>
      <c r="M825" s="245"/>
      <c r="N825" s="150"/>
      <c r="R825" s="2575"/>
      <c r="S825" s="2575"/>
      <c r="T825" s="2575"/>
      <c r="U825" s="2575"/>
      <c r="V825" s="2575"/>
      <c r="W825" s="2575"/>
      <c r="X825" s="2575"/>
      <c r="Y825" s="2575"/>
      <c r="Z825" s="2575"/>
      <c r="AA825" s="2575"/>
      <c r="AB825" s="2575"/>
    </row>
    <row r="826" spans="1:28" s="165" customFormat="1" ht="14.25" customHeight="1">
      <c r="A826" s="245"/>
      <c r="B826" s="149"/>
      <c r="C826" s="149"/>
      <c r="D826" s="149"/>
      <c r="E826" s="149"/>
      <c r="F826" s="149"/>
      <c r="G826" s="149"/>
      <c r="H826" s="149"/>
      <c r="I826" s="119"/>
      <c r="J826" s="150"/>
      <c r="K826" s="150"/>
      <c r="L826" s="256"/>
      <c r="M826" s="245"/>
      <c r="N826" s="150"/>
      <c r="R826" s="2575"/>
      <c r="S826" s="2575"/>
      <c r="T826" s="2575"/>
      <c r="U826" s="2575"/>
      <c r="V826" s="2575"/>
      <c r="W826" s="2575"/>
      <c r="X826" s="2575"/>
      <c r="Y826" s="2575"/>
      <c r="Z826" s="2575"/>
      <c r="AA826" s="2575"/>
      <c r="AB826" s="2575"/>
    </row>
    <row r="827" spans="1:28" s="165" customFormat="1" ht="14.25" customHeight="1">
      <c r="A827" s="245"/>
      <c r="B827" s="149"/>
      <c r="C827" s="149"/>
      <c r="D827" s="149"/>
      <c r="E827" s="149"/>
      <c r="F827" s="149"/>
      <c r="G827" s="149"/>
      <c r="H827" s="149"/>
      <c r="I827" s="119"/>
      <c r="J827" s="150"/>
      <c r="K827" s="150"/>
      <c r="L827" s="256"/>
      <c r="M827" s="245"/>
      <c r="N827" s="150"/>
      <c r="R827" s="2575"/>
      <c r="S827" s="2575"/>
      <c r="T827" s="2575"/>
      <c r="U827" s="2575"/>
      <c r="V827" s="2575"/>
      <c r="W827" s="2575"/>
      <c r="X827" s="2575"/>
      <c r="Y827" s="2575"/>
      <c r="Z827" s="2575"/>
      <c r="AA827" s="2575"/>
      <c r="AB827" s="2575"/>
    </row>
    <row r="828" spans="1:28" s="165" customFormat="1" ht="14.25" customHeight="1">
      <c r="A828" s="245"/>
      <c r="B828" s="149"/>
      <c r="C828" s="149"/>
      <c r="D828" s="149"/>
      <c r="E828" s="149"/>
      <c r="F828" s="149"/>
      <c r="G828" s="149"/>
      <c r="H828" s="149"/>
      <c r="I828" s="119"/>
      <c r="J828" s="150"/>
      <c r="K828" s="150"/>
      <c r="L828" s="256"/>
      <c r="M828" s="245"/>
      <c r="N828" s="150"/>
      <c r="R828" s="2575"/>
      <c r="S828" s="2575"/>
      <c r="T828" s="2575"/>
      <c r="U828" s="2575"/>
      <c r="V828" s="2575"/>
      <c r="W828" s="2575"/>
      <c r="X828" s="2575"/>
      <c r="Y828" s="2575"/>
      <c r="Z828" s="2575"/>
      <c r="AA828" s="2575"/>
      <c r="AB828" s="2575"/>
    </row>
    <row r="829" spans="1:28" s="165" customFormat="1" ht="14.25" customHeight="1">
      <c r="A829" s="245"/>
      <c r="B829" s="149"/>
      <c r="C829" s="149"/>
      <c r="D829" s="149"/>
      <c r="E829" s="149"/>
      <c r="F829" s="149"/>
      <c r="G829" s="149"/>
      <c r="H829" s="149"/>
      <c r="I829" s="119"/>
      <c r="J829" s="150"/>
      <c r="K829" s="150"/>
      <c r="L829" s="256"/>
      <c r="M829" s="245"/>
      <c r="N829" s="150"/>
      <c r="R829" s="2575"/>
      <c r="S829" s="2575"/>
      <c r="T829" s="2575"/>
      <c r="U829" s="2575"/>
      <c r="V829" s="2575"/>
      <c r="W829" s="2575"/>
      <c r="X829" s="2575"/>
      <c r="Y829" s="2575"/>
      <c r="Z829" s="2575"/>
      <c r="AA829" s="2575"/>
      <c r="AB829" s="2575"/>
    </row>
    <row r="830" spans="1:28" s="165" customFormat="1" ht="14.25" customHeight="1">
      <c r="A830" s="245"/>
      <c r="B830" s="149"/>
      <c r="C830" s="149"/>
      <c r="D830" s="149"/>
      <c r="E830" s="149"/>
      <c r="F830" s="149"/>
      <c r="G830" s="149"/>
      <c r="H830" s="149"/>
      <c r="I830" s="119"/>
      <c r="J830" s="150"/>
      <c r="K830" s="150"/>
      <c r="L830" s="256"/>
      <c r="M830" s="245"/>
      <c r="N830" s="150"/>
      <c r="R830" s="2575"/>
      <c r="S830" s="2575"/>
      <c r="T830" s="2575"/>
      <c r="U830" s="2575"/>
      <c r="V830" s="2575"/>
      <c r="W830" s="2575"/>
      <c r="X830" s="2575"/>
      <c r="Y830" s="2575"/>
      <c r="Z830" s="2575"/>
      <c r="AA830" s="2575"/>
      <c r="AB830" s="2575"/>
    </row>
    <row r="831" spans="1:28" s="165" customFormat="1" ht="14.25" customHeight="1">
      <c r="A831" s="245"/>
      <c r="B831" s="149"/>
      <c r="C831" s="149"/>
      <c r="D831" s="149"/>
      <c r="E831" s="149"/>
      <c r="F831" s="149"/>
      <c r="G831" s="149"/>
      <c r="H831" s="149"/>
      <c r="I831" s="119"/>
      <c r="J831" s="150"/>
      <c r="K831" s="150"/>
      <c r="L831" s="256"/>
      <c r="M831" s="245"/>
      <c r="N831" s="150"/>
      <c r="R831" s="2575"/>
      <c r="S831" s="2575"/>
      <c r="T831" s="2575"/>
      <c r="U831" s="2575"/>
      <c r="V831" s="2575"/>
      <c r="W831" s="2575"/>
      <c r="X831" s="2575"/>
      <c r="Y831" s="2575"/>
      <c r="Z831" s="2575"/>
      <c r="AA831" s="2575"/>
      <c r="AB831" s="2575"/>
    </row>
    <row r="832" spans="1:28" s="165" customFormat="1" ht="14.25" customHeight="1">
      <c r="A832" s="245"/>
      <c r="B832" s="149"/>
      <c r="C832" s="149"/>
      <c r="D832" s="149"/>
      <c r="E832" s="149"/>
      <c r="F832" s="149"/>
      <c r="G832" s="149"/>
      <c r="H832" s="149"/>
      <c r="I832" s="119"/>
      <c r="J832" s="150"/>
      <c r="K832" s="150"/>
      <c r="L832" s="256"/>
      <c r="M832" s="245"/>
      <c r="N832" s="150"/>
      <c r="R832" s="2575"/>
      <c r="S832" s="2575"/>
      <c r="T832" s="2575"/>
      <c r="U832" s="2575"/>
      <c r="V832" s="2575"/>
      <c r="W832" s="2575"/>
      <c r="X832" s="2575"/>
      <c r="Y832" s="2575"/>
      <c r="Z832" s="2575"/>
      <c r="AA832" s="2575"/>
      <c r="AB832" s="2575"/>
    </row>
    <row r="833" spans="1:28" s="165" customFormat="1" ht="14.25" customHeight="1">
      <c r="A833" s="245"/>
      <c r="B833" s="149"/>
      <c r="C833" s="149"/>
      <c r="D833" s="149"/>
      <c r="E833" s="149"/>
      <c r="F833" s="149"/>
      <c r="G833" s="149"/>
      <c r="H833" s="149"/>
      <c r="I833" s="119"/>
      <c r="J833" s="150"/>
      <c r="K833" s="150"/>
      <c r="L833" s="256"/>
      <c r="M833" s="245"/>
      <c r="N833" s="150"/>
      <c r="R833" s="2575"/>
      <c r="S833" s="2575"/>
      <c r="T833" s="2575"/>
      <c r="U833" s="2575"/>
      <c r="V833" s="2575"/>
      <c r="W833" s="2575"/>
      <c r="X833" s="2575"/>
      <c r="Y833" s="2575"/>
      <c r="Z833" s="2575"/>
      <c r="AA833" s="2575"/>
      <c r="AB833" s="2575"/>
    </row>
    <row r="834" spans="1:28" s="165" customFormat="1" ht="14.25" customHeight="1">
      <c r="A834" s="245"/>
      <c r="B834" s="149"/>
      <c r="C834" s="149"/>
      <c r="D834" s="149"/>
      <c r="E834" s="149"/>
      <c r="F834" s="149"/>
      <c r="G834" s="149"/>
      <c r="H834" s="149"/>
      <c r="I834" s="119"/>
      <c r="J834" s="150"/>
      <c r="K834" s="150"/>
      <c r="L834" s="256"/>
      <c r="M834" s="245"/>
      <c r="N834" s="150"/>
      <c r="R834" s="2575"/>
      <c r="S834" s="2575"/>
      <c r="T834" s="2575"/>
      <c r="U834" s="2575"/>
      <c r="V834" s="2575"/>
      <c r="W834" s="2575"/>
      <c r="X834" s="2575"/>
      <c r="Y834" s="2575"/>
      <c r="Z834" s="2575"/>
      <c r="AA834" s="2575"/>
      <c r="AB834" s="2575"/>
    </row>
    <row r="835" spans="1:28" s="165" customFormat="1" ht="14.25" customHeight="1">
      <c r="A835" s="245"/>
      <c r="B835" s="149"/>
      <c r="C835" s="149"/>
      <c r="D835" s="149"/>
      <c r="E835" s="149"/>
      <c r="F835" s="149"/>
      <c r="G835" s="149"/>
      <c r="H835" s="149"/>
      <c r="I835" s="119"/>
      <c r="J835" s="150"/>
      <c r="K835" s="150"/>
      <c r="L835" s="256"/>
      <c r="M835" s="245"/>
      <c r="N835" s="150"/>
      <c r="R835" s="2575"/>
      <c r="S835" s="2575"/>
      <c r="T835" s="2575"/>
      <c r="U835" s="2575"/>
      <c r="V835" s="2575"/>
      <c r="W835" s="2575"/>
      <c r="X835" s="2575"/>
      <c r="Y835" s="2575"/>
      <c r="Z835" s="2575"/>
      <c r="AA835" s="2575"/>
      <c r="AB835" s="2575"/>
    </row>
    <row r="836" spans="1:28" s="165" customFormat="1" ht="14.25" customHeight="1">
      <c r="A836" s="245"/>
      <c r="B836" s="149"/>
      <c r="C836" s="149"/>
      <c r="D836" s="149"/>
      <c r="E836" s="149"/>
      <c r="F836" s="149"/>
      <c r="G836" s="149"/>
      <c r="H836" s="149"/>
      <c r="I836" s="119"/>
      <c r="J836" s="150"/>
      <c r="K836" s="150"/>
      <c r="L836" s="256"/>
      <c r="M836" s="245"/>
      <c r="N836" s="150"/>
      <c r="R836" s="2575"/>
      <c r="S836" s="2575"/>
      <c r="T836" s="2575"/>
      <c r="U836" s="2575"/>
      <c r="V836" s="2575"/>
      <c r="W836" s="2575"/>
      <c r="X836" s="2575"/>
      <c r="Y836" s="2575"/>
      <c r="Z836" s="2575"/>
      <c r="AA836" s="2575"/>
      <c r="AB836" s="2575"/>
    </row>
    <row r="837" spans="1:28" s="165" customFormat="1" ht="14.25" customHeight="1">
      <c r="A837" s="245"/>
      <c r="B837" s="149"/>
      <c r="C837" s="149"/>
      <c r="D837" s="149"/>
      <c r="E837" s="149"/>
      <c r="F837" s="149"/>
      <c r="G837" s="149"/>
      <c r="H837" s="149"/>
      <c r="I837" s="119"/>
      <c r="J837" s="150"/>
      <c r="K837" s="150"/>
      <c r="L837" s="256"/>
      <c r="M837" s="245"/>
      <c r="N837" s="150"/>
      <c r="R837" s="2575"/>
      <c r="S837" s="2575"/>
      <c r="T837" s="2575"/>
      <c r="U837" s="2575"/>
      <c r="V837" s="2575"/>
      <c r="W837" s="2575"/>
      <c r="X837" s="2575"/>
      <c r="Y837" s="2575"/>
      <c r="Z837" s="2575"/>
      <c r="AA837" s="2575"/>
      <c r="AB837" s="2575"/>
    </row>
    <row r="838" spans="1:28" s="165" customFormat="1" ht="14.25" customHeight="1">
      <c r="A838" s="245"/>
      <c r="B838" s="149"/>
      <c r="C838" s="149"/>
      <c r="D838" s="149"/>
      <c r="E838" s="149"/>
      <c r="F838" s="149"/>
      <c r="G838" s="149"/>
      <c r="H838" s="149"/>
      <c r="I838" s="119"/>
      <c r="J838" s="150"/>
      <c r="K838" s="150"/>
      <c r="L838" s="256"/>
      <c r="M838" s="245"/>
      <c r="N838" s="150"/>
      <c r="R838" s="2575"/>
      <c r="S838" s="2575"/>
      <c r="T838" s="2575"/>
      <c r="U838" s="2575"/>
      <c r="V838" s="2575"/>
      <c r="W838" s="2575"/>
      <c r="X838" s="2575"/>
      <c r="Y838" s="2575"/>
      <c r="Z838" s="2575"/>
      <c r="AA838" s="2575"/>
      <c r="AB838" s="2575"/>
    </row>
    <row r="839" spans="1:28" s="165" customFormat="1" ht="14.25" customHeight="1">
      <c r="A839" s="245"/>
      <c r="B839" s="149"/>
      <c r="C839" s="149"/>
      <c r="D839" s="149"/>
      <c r="E839" s="149"/>
      <c r="F839" s="149"/>
      <c r="G839" s="149"/>
      <c r="H839" s="149"/>
      <c r="I839" s="119"/>
      <c r="J839" s="150"/>
      <c r="K839" s="150"/>
      <c r="L839" s="256"/>
      <c r="M839" s="245"/>
      <c r="N839" s="150"/>
      <c r="R839" s="2575"/>
      <c r="S839" s="2575"/>
      <c r="T839" s="2575"/>
      <c r="U839" s="2575"/>
      <c r="V839" s="2575"/>
      <c r="W839" s="2575"/>
      <c r="X839" s="2575"/>
      <c r="Y839" s="2575"/>
      <c r="Z839" s="2575"/>
      <c r="AA839" s="2575"/>
      <c r="AB839" s="2575"/>
    </row>
    <row r="840" spans="1:28" s="165" customFormat="1" ht="14.25" customHeight="1">
      <c r="A840" s="245"/>
      <c r="B840" s="149"/>
      <c r="C840" s="149"/>
      <c r="D840" s="149"/>
      <c r="E840" s="149"/>
      <c r="F840" s="149"/>
      <c r="G840" s="149"/>
      <c r="H840" s="149"/>
      <c r="I840" s="119"/>
      <c r="J840" s="150"/>
      <c r="K840" s="150"/>
      <c r="L840" s="256"/>
      <c r="M840" s="245"/>
      <c r="N840" s="150"/>
      <c r="R840" s="2575"/>
      <c r="S840" s="2575"/>
      <c r="T840" s="2575"/>
      <c r="U840" s="2575"/>
      <c r="V840" s="2575"/>
      <c r="W840" s="2575"/>
      <c r="X840" s="2575"/>
      <c r="Y840" s="2575"/>
      <c r="Z840" s="2575"/>
      <c r="AA840" s="2575"/>
      <c r="AB840" s="2575"/>
    </row>
    <row r="841" spans="1:28" s="165" customFormat="1" ht="14.25" customHeight="1">
      <c r="A841" s="245"/>
      <c r="B841" s="149"/>
      <c r="C841" s="149"/>
      <c r="D841" s="149"/>
      <c r="E841" s="149"/>
      <c r="F841" s="149"/>
      <c r="G841" s="149"/>
      <c r="H841" s="149"/>
      <c r="I841" s="119"/>
      <c r="J841" s="150"/>
      <c r="K841" s="150"/>
      <c r="L841" s="256"/>
      <c r="M841" s="245"/>
      <c r="N841" s="150"/>
      <c r="R841" s="2575"/>
      <c r="S841" s="2575"/>
      <c r="T841" s="2575"/>
      <c r="U841" s="2575"/>
      <c r="V841" s="2575"/>
      <c r="W841" s="2575"/>
      <c r="X841" s="2575"/>
      <c r="Y841" s="2575"/>
      <c r="Z841" s="2575"/>
      <c r="AA841" s="2575"/>
      <c r="AB841" s="2575"/>
    </row>
    <row r="842" spans="1:28" s="165" customFormat="1" ht="14.25" customHeight="1">
      <c r="A842" s="245"/>
      <c r="B842" s="149"/>
      <c r="C842" s="149"/>
      <c r="D842" s="149"/>
      <c r="E842" s="149"/>
      <c r="F842" s="149"/>
      <c r="G842" s="149"/>
      <c r="H842" s="149"/>
      <c r="I842" s="119"/>
      <c r="J842" s="150"/>
      <c r="K842" s="150"/>
      <c r="L842" s="256"/>
      <c r="M842" s="245"/>
      <c r="N842" s="150"/>
      <c r="R842" s="2575"/>
      <c r="S842" s="2575"/>
      <c r="T842" s="2575"/>
      <c r="U842" s="2575"/>
      <c r="V842" s="2575"/>
      <c r="W842" s="2575"/>
      <c r="X842" s="2575"/>
      <c r="Y842" s="2575"/>
      <c r="Z842" s="2575"/>
      <c r="AA842" s="2575"/>
      <c r="AB842" s="2575"/>
    </row>
    <row r="843" spans="1:28" s="165" customFormat="1" ht="14.25" customHeight="1">
      <c r="A843" s="245"/>
      <c r="B843" s="149"/>
      <c r="C843" s="149"/>
      <c r="D843" s="149"/>
      <c r="E843" s="149"/>
      <c r="F843" s="149"/>
      <c r="G843" s="149"/>
      <c r="H843" s="149"/>
      <c r="I843" s="119"/>
      <c r="J843" s="150"/>
      <c r="K843" s="150"/>
      <c r="L843" s="256"/>
      <c r="M843" s="245"/>
      <c r="N843" s="150"/>
      <c r="R843" s="2575"/>
      <c r="S843" s="2575"/>
      <c r="T843" s="2575"/>
      <c r="U843" s="2575"/>
      <c r="V843" s="2575"/>
      <c r="W843" s="2575"/>
      <c r="X843" s="2575"/>
      <c r="Y843" s="2575"/>
      <c r="Z843" s="2575"/>
      <c r="AA843" s="2575"/>
      <c r="AB843" s="2575"/>
    </row>
    <row r="844" spans="1:28" s="165" customFormat="1" ht="15.75">
      <c r="A844" s="245"/>
      <c r="B844" s="207"/>
      <c r="C844" s="207"/>
      <c r="D844" s="207"/>
      <c r="E844" s="207"/>
      <c r="F844" s="207"/>
      <c r="G844" s="207"/>
      <c r="H844" s="207"/>
      <c r="I844" s="275"/>
      <c r="J844" s="151"/>
      <c r="K844" s="151"/>
      <c r="L844" s="1040"/>
      <c r="M844" s="151"/>
      <c r="N844" s="151" t="str">
        <f>N541</f>
        <v>УТВЕРЖДАЮ</v>
      </c>
      <c r="O844" s="207"/>
      <c r="P844" s="151"/>
      <c r="R844" s="2575"/>
      <c r="S844" s="2575"/>
      <c r="T844" s="2575"/>
      <c r="U844" s="2575"/>
      <c r="V844" s="2575"/>
      <c r="W844" s="2575"/>
      <c r="X844" s="2575"/>
      <c r="Y844" s="2575"/>
      <c r="Z844" s="2575"/>
      <c r="AA844" s="2575"/>
      <c r="AB844" s="2575"/>
    </row>
    <row r="845" spans="1:28" s="165" customFormat="1" ht="15.75">
      <c r="A845" s="245"/>
      <c r="B845" s="207"/>
      <c r="C845" s="207"/>
      <c r="D845" s="207"/>
      <c r="E845" s="207"/>
      <c r="F845" s="207"/>
      <c r="G845" s="207"/>
      <c r="H845" s="207"/>
      <c r="I845" s="275"/>
      <c r="J845" s="151"/>
      <c r="K845" s="151"/>
      <c r="L845" s="151"/>
      <c r="M845" s="151" t="str">
        <f>M542</f>
        <v>Главный врач Слонимской ЦРБ</v>
      </c>
      <c r="N845" s="151"/>
      <c r="O845" s="151"/>
      <c r="P845" s="153" t="str">
        <f>P542</f>
        <v>Главный врач Слонимской ЦРБ</v>
      </c>
      <c r="R845" s="2575"/>
      <c r="S845" s="2575"/>
      <c r="T845" s="2575"/>
      <c r="U845" s="2575"/>
      <c r="V845" s="2575"/>
      <c r="W845" s="2575"/>
      <c r="X845" s="2575"/>
      <c r="Y845" s="2575"/>
      <c r="Z845" s="2575"/>
      <c r="AA845" s="2575"/>
      <c r="AB845" s="2575"/>
    </row>
    <row r="846" spans="1:28" s="165" customFormat="1" ht="15.75">
      <c r="A846" s="305"/>
      <c r="B846" s="149"/>
      <c r="C846" s="149"/>
      <c r="D846" s="149"/>
      <c r="E846" s="149"/>
      <c r="F846" s="149"/>
      <c r="G846" s="149"/>
      <c r="H846" s="149"/>
      <c r="I846" s="119"/>
      <c r="J846" s="150"/>
      <c r="K846" s="151"/>
      <c r="L846" s="151"/>
      <c r="M846" s="151" t="str">
        <f>M543</f>
        <v>Г.М. Моисеенкова</v>
      </c>
      <c r="N846" s="151"/>
      <c r="O846" s="151"/>
      <c r="P846" s="153" t="str">
        <f>P543</f>
        <v>Г.М. Моисеенкова</v>
      </c>
      <c r="R846" s="2575"/>
      <c r="S846" s="2575"/>
      <c r="T846" s="2575"/>
      <c r="U846" s="2575"/>
      <c r="V846" s="2575"/>
      <c r="W846" s="2575"/>
      <c r="X846" s="2575"/>
      <c r="Y846" s="2575"/>
      <c r="Z846" s="2575"/>
      <c r="AA846" s="2575"/>
      <c r="AB846" s="2575"/>
    </row>
    <row r="847" spans="1:28" s="165" customFormat="1" ht="15.75">
      <c r="A847" s="305"/>
      <c r="B847" s="149"/>
      <c r="C847" s="149"/>
      <c r="D847" s="149"/>
      <c r="E847" s="149"/>
      <c r="F847" s="149"/>
      <c r="G847" s="149"/>
      <c r="H847" s="149"/>
      <c r="I847" s="119"/>
      <c r="J847" s="150"/>
      <c r="K847" s="153"/>
      <c r="L847" s="1948">
        <f>L544</f>
        <v>1</v>
      </c>
      <c r="M847" s="482" t="str">
        <f>M544</f>
        <v>июля</v>
      </c>
      <c r="N847" s="1041" t="str">
        <f>N544</f>
        <v>2017 г.</v>
      </c>
      <c r="O847" s="151" t="str">
        <f>O544</f>
        <v>июля</v>
      </c>
      <c r="P847" s="151" t="str">
        <f>P544</f>
        <v>2017 г.</v>
      </c>
      <c r="R847" s="2575"/>
      <c r="S847" s="2575"/>
      <c r="T847" s="2575"/>
      <c r="U847" s="2575"/>
      <c r="V847" s="2575"/>
      <c r="W847" s="2575"/>
      <c r="X847" s="2575"/>
      <c r="Y847" s="2575"/>
      <c r="Z847" s="2575"/>
      <c r="AA847" s="2575"/>
      <c r="AB847" s="2575"/>
    </row>
    <row r="848" spans="1:28" s="165" customFormat="1" ht="15.75">
      <c r="A848" s="119"/>
      <c r="B848" s="149"/>
      <c r="C848" s="149"/>
      <c r="D848" s="149"/>
      <c r="E848" s="149"/>
      <c r="F848" s="149"/>
      <c r="G848" s="149"/>
      <c r="H848" s="149"/>
      <c r="I848" s="306"/>
      <c r="J848" s="150"/>
      <c r="K848" s="119"/>
      <c r="L848" s="307"/>
      <c r="M848" s="119"/>
      <c r="N848" s="119"/>
      <c r="R848" s="2575"/>
      <c r="S848" s="2575"/>
      <c r="T848" s="2575"/>
      <c r="U848" s="2575"/>
      <c r="V848" s="2575"/>
      <c r="W848" s="2575"/>
      <c r="X848" s="2575"/>
      <c r="Y848" s="2575"/>
      <c r="Z848" s="2575"/>
      <c r="AA848" s="2575"/>
      <c r="AB848" s="2575"/>
    </row>
    <row r="849" spans="1:28" s="165" customFormat="1" ht="18" customHeight="1">
      <c r="A849" s="2380" t="s">
        <v>439</v>
      </c>
      <c r="B849" s="2380"/>
      <c r="C849" s="2380"/>
      <c r="D849" s="2380"/>
      <c r="E849" s="2380"/>
      <c r="F849" s="2380"/>
      <c r="G849" s="2380"/>
      <c r="H849" s="2380"/>
      <c r="I849" s="2380"/>
      <c r="J849" s="2380"/>
      <c r="K849" s="2380"/>
      <c r="L849" s="2380"/>
      <c r="M849" s="2380"/>
      <c r="N849" s="2380"/>
      <c r="O849" s="2380"/>
      <c r="P849" s="2380"/>
      <c r="R849" s="2575"/>
      <c r="S849" s="2575"/>
      <c r="T849" s="2575"/>
      <c r="U849" s="2575"/>
      <c r="V849" s="2575"/>
      <c r="W849" s="2575"/>
      <c r="X849" s="2575"/>
      <c r="Y849" s="2575"/>
      <c r="Z849" s="2575"/>
      <c r="AA849" s="2575"/>
      <c r="AB849" s="2575"/>
    </row>
    <row r="850" spans="1:28" s="165" customFormat="1" ht="18" customHeight="1">
      <c r="A850" s="2380" t="s">
        <v>98</v>
      </c>
      <c r="B850" s="2380"/>
      <c r="C850" s="2380"/>
      <c r="D850" s="2380"/>
      <c r="E850" s="2380"/>
      <c r="F850" s="2380"/>
      <c r="G850" s="2380"/>
      <c r="H850" s="2380"/>
      <c r="I850" s="2380"/>
      <c r="J850" s="2380"/>
      <c r="K850" s="2380"/>
      <c r="L850" s="2380"/>
      <c r="M850" s="2380"/>
      <c r="N850" s="2380"/>
      <c r="O850" s="2380"/>
      <c r="P850" s="2380"/>
      <c r="R850" s="2575"/>
      <c r="S850" s="2575"/>
      <c r="T850" s="2575"/>
      <c r="U850" s="2575"/>
      <c r="V850" s="2575"/>
      <c r="W850" s="2575"/>
      <c r="X850" s="2575"/>
      <c r="Y850" s="2575"/>
      <c r="Z850" s="2575"/>
      <c r="AA850" s="2575"/>
      <c r="AB850" s="2575"/>
    </row>
    <row r="851" spans="1:28" s="165" customFormat="1" ht="18" customHeight="1">
      <c r="A851" s="2380" t="s">
        <v>403</v>
      </c>
      <c r="B851" s="2380"/>
      <c r="C851" s="2380"/>
      <c r="D851" s="2380"/>
      <c r="E851" s="2380"/>
      <c r="F851" s="2380"/>
      <c r="G851" s="2380"/>
      <c r="H851" s="2380"/>
      <c r="I851" s="2380"/>
      <c r="J851" s="2380"/>
      <c r="K851" s="2380"/>
      <c r="L851" s="2380"/>
      <c r="M851" s="2380"/>
      <c r="N851" s="2380"/>
      <c r="O851" s="2380"/>
      <c r="P851" s="2380"/>
      <c r="R851" s="2575"/>
      <c r="S851" s="2575"/>
      <c r="T851" s="2575"/>
      <c r="U851" s="2575"/>
      <c r="V851" s="2575"/>
      <c r="W851" s="2575"/>
      <c r="X851" s="2575"/>
      <c r="Y851" s="2575"/>
      <c r="Z851" s="2575"/>
      <c r="AA851" s="2575"/>
      <c r="AB851" s="2575"/>
    </row>
    <row r="852" spans="1:28" s="165" customFormat="1" ht="15.75">
      <c r="A852" s="148"/>
      <c r="B852" s="149"/>
      <c r="C852" s="149"/>
      <c r="D852" s="149"/>
      <c r="E852" s="149"/>
      <c r="F852" s="149"/>
      <c r="G852" s="168"/>
      <c r="H852" s="149"/>
      <c r="I852" s="260"/>
      <c r="J852" s="150"/>
      <c r="K852" s="150"/>
      <c r="L852" s="256"/>
      <c r="M852" s="150"/>
      <c r="N852" s="150"/>
      <c r="R852" s="2575"/>
      <c r="S852" s="2575"/>
      <c r="T852" s="2575"/>
      <c r="U852" s="2575"/>
      <c r="V852" s="2575"/>
      <c r="W852" s="2575"/>
      <c r="X852" s="2575"/>
      <c r="Y852" s="2575"/>
      <c r="Z852" s="2575"/>
      <c r="AA852" s="2575"/>
      <c r="AB852" s="2575"/>
    </row>
    <row r="853" spans="1:28" s="165" customFormat="1" ht="15.75">
      <c r="A853" s="148"/>
      <c r="B853" s="172" t="s">
        <v>100</v>
      </c>
      <c r="C853" s="173" t="str">
        <f>C551</f>
        <v>01.07.2017г.</v>
      </c>
      <c r="D853" s="308"/>
      <c r="E853" s="149"/>
      <c r="F853" s="149"/>
      <c r="G853" s="168"/>
      <c r="H853" s="149"/>
      <c r="I853" s="260"/>
      <c r="J853" s="150"/>
      <c r="K853" s="150"/>
      <c r="L853" s="256"/>
      <c r="M853" s="150"/>
      <c r="N853" s="150"/>
      <c r="R853" s="2575"/>
      <c r="S853" s="2575"/>
      <c r="T853" s="2575"/>
      <c r="U853" s="2575"/>
      <c r="V853" s="2575"/>
      <c r="W853" s="2575"/>
      <c r="X853" s="2575"/>
      <c r="Y853" s="2575"/>
      <c r="Z853" s="2575"/>
      <c r="AA853" s="2575"/>
      <c r="AB853" s="2575"/>
    </row>
    <row r="854" spans="1:28" s="177" customFormat="1" ht="15.75">
      <c r="A854" s="2268" t="s">
        <v>259</v>
      </c>
      <c r="B854" s="180"/>
      <c r="C854" s="180"/>
      <c r="D854" s="180"/>
      <c r="E854" s="181"/>
      <c r="F854" s="180"/>
      <c r="G854" s="180"/>
      <c r="H854" s="182"/>
      <c r="I854" s="183"/>
      <c r="J854" s="2253" t="s">
        <v>447</v>
      </c>
      <c r="K854" s="2254"/>
      <c r="L854" s="185" t="s">
        <v>923</v>
      </c>
      <c r="M854" s="2303" t="s">
        <v>443</v>
      </c>
      <c r="N854" s="2304"/>
      <c r="O854" s="2304"/>
      <c r="P854" s="2305"/>
      <c r="R854" s="2563"/>
      <c r="S854" s="2563"/>
      <c r="T854" s="2563"/>
      <c r="U854" s="2563"/>
      <c r="V854" s="2563"/>
      <c r="W854" s="2563"/>
      <c r="X854" s="2563"/>
      <c r="Y854" s="2563"/>
      <c r="Z854" s="2563"/>
      <c r="AA854" s="2563"/>
      <c r="AB854" s="2563"/>
    </row>
    <row r="855" spans="1:28" s="177" customFormat="1" ht="15.75" customHeight="1">
      <c r="A855" s="2269"/>
      <c r="B855" s="174"/>
      <c r="C855" s="174"/>
      <c r="D855" s="174"/>
      <c r="E855" s="174"/>
      <c r="F855" s="174"/>
      <c r="G855" s="174"/>
      <c r="H855" s="188"/>
      <c r="I855" s="189"/>
      <c r="J855" s="2242"/>
      <c r="K855" s="2243"/>
      <c r="L855" s="191" t="s">
        <v>924</v>
      </c>
      <c r="M855" s="2422" t="s">
        <v>233</v>
      </c>
      <c r="N855" s="2423"/>
      <c r="O855" s="2423"/>
      <c r="P855" s="2424"/>
      <c r="R855" s="2563"/>
      <c r="S855" s="2563"/>
      <c r="T855" s="2563"/>
      <c r="U855" s="2563"/>
      <c r="V855" s="2563"/>
      <c r="W855" s="2563"/>
      <c r="X855" s="2563"/>
      <c r="Y855" s="2563"/>
      <c r="Z855" s="2563"/>
      <c r="AA855" s="2563"/>
      <c r="AB855" s="2563"/>
    </row>
    <row r="856" spans="1:28" s="177" customFormat="1" ht="11.25" customHeight="1">
      <c r="A856" s="2269"/>
      <c r="B856" s="174"/>
      <c r="C856" s="174"/>
      <c r="D856" s="174"/>
      <c r="E856" s="148" t="s">
        <v>445</v>
      </c>
      <c r="F856" s="174"/>
      <c r="G856" s="174"/>
      <c r="H856" s="188"/>
      <c r="I856" s="189" t="s">
        <v>844</v>
      </c>
      <c r="J856" s="184" t="s">
        <v>926</v>
      </c>
      <c r="K856" s="179" t="s">
        <v>927</v>
      </c>
      <c r="L856" s="191" t="s">
        <v>448</v>
      </c>
      <c r="M856" s="2425"/>
      <c r="N856" s="2426"/>
      <c r="O856" s="2426"/>
      <c r="P856" s="2427"/>
      <c r="R856" s="2563"/>
      <c r="S856" s="2563"/>
      <c r="T856" s="2563"/>
      <c r="U856" s="2563"/>
      <c r="V856" s="2563"/>
      <c r="W856" s="2563"/>
      <c r="X856" s="2563"/>
      <c r="Y856" s="2563"/>
      <c r="Z856" s="2563"/>
      <c r="AA856" s="2563"/>
      <c r="AB856" s="2563"/>
    </row>
    <row r="857" spans="1:28" s="177" customFormat="1" ht="15.75">
      <c r="A857" s="2269"/>
      <c r="B857" s="148"/>
      <c r="C857" s="148"/>
      <c r="D857" s="148"/>
      <c r="E857" s="148"/>
      <c r="F857" s="174"/>
      <c r="G857" s="174"/>
      <c r="H857" s="189"/>
      <c r="I857" s="189" t="s">
        <v>928</v>
      </c>
      <c r="J857" s="194" t="s">
        <v>929</v>
      </c>
      <c r="K857" s="187" t="s">
        <v>930</v>
      </c>
      <c r="L857" s="191" t="s">
        <v>452</v>
      </c>
      <c r="M857" s="1564" t="s">
        <v>926</v>
      </c>
      <c r="N857" s="1561" t="s">
        <v>927</v>
      </c>
      <c r="O857" s="1560" t="s">
        <v>926</v>
      </c>
      <c r="P857" s="1564" t="s">
        <v>927</v>
      </c>
      <c r="R857" s="2563"/>
      <c r="S857" s="2563"/>
      <c r="T857" s="2563"/>
      <c r="U857" s="2563"/>
      <c r="V857" s="2563"/>
      <c r="W857" s="2563"/>
      <c r="X857" s="2563"/>
      <c r="Y857" s="2563"/>
      <c r="Z857" s="2563"/>
      <c r="AA857" s="2563"/>
      <c r="AB857" s="2563"/>
    </row>
    <row r="858" spans="1:28" s="177" customFormat="1" ht="15.75">
      <c r="A858" s="2269"/>
      <c r="B858" s="174"/>
      <c r="C858" s="174"/>
      <c r="D858" s="174"/>
      <c r="E858" s="174"/>
      <c r="F858" s="174"/>
      <c r="G858" s="148"/>
      <c r="H858" s="189"/>
      <c r="I858" s="189" t="s">
        <v>931</v>
      </c>
      <c r="J858" s="194"/>
      <c r="K858" s="187" t="s">
        <v>932</v>
      </c>
      <c r="L858" s="199"/>
      <c r="M858" s="1565" t="s">
        <v>929</v>
      </c>
      <c r="N858" s="169" t="s">
        <v>930</v>
      </c>
      <c r="O858" s="1566" t="s">
        <v>929</v>
      </c>
      <c r="P858" s="1565" t="s">
        <v>930</v>
      </c>
      <c r="R858" s="2563"/>
      <c r="S858" s="2563"/>
      <c r="T858" s="2563"/>
      <c r="U858" s="2563"/>
      <c r="V858" s="2563"/>
      <c r="W858" s="2563"/>
      <c r="X858" s="2563"/>
      <c r="Y858" s="2563"/>
      <c r="Z858" s="2563"/>
      <c r="AA858" s="2563"/>
      <c r="AB858" s="2563"/>
    </row>
    <row r="859" spans="1:28" s="177" customFormat="1" ht="15.75">
      <c r="A859" s="2269"/>
      <c r="B859" s="174"/>
      <c r="C859" s="174"/>
      <c r="D859" s="174"/>
      <c r="E859" s="174"/>
      <c r="F859" s="174"/>
      <c r="G859" s="148"/>
      <c r="H859" s="189"/>
      <c r="I859" s="189"/>
      <c r="J859" s="194"/>
      <c r="K859" s="187"/>
      <c r="L859" s="199"/>
      <c r="M859" s="1565"/>
      <c r="N859" s="169" t="s">
        <v>932</v>
      </c>
      <c r="O859" s="1566"/>
      <c r="P859" s="1565" t="s">
        <v>932</v>
      </c>
      <c r="R859" s="2563"/>
      <c r="S859" s="2563"/>
      <c r="T859" s="2563"/>
      <c r="U859" s="2563"/>
      <c r="V859" s="2563"/>
      <c r="W859" s="2563"/>
      <c r="X859" s="2563"/>
      <c r="Y859" s="2563"/>
      <c r="Z859" s="2563"/>
      <c r="AA859" s="2563"/>
      <c r="AB859" s="2563"/>
    </row>
    <row r="860" spans="1:28" s="177" customFormat="1" ht="15.75">
      <c r="A860" s="2270"/>
      <c r="B860" s="202"/>
      <c r="C860" s="202"/>
      <c r="D860" s="202"/>
      <c r="E860" s="202"/>
      <c r="F860" s="202"/>
      <c r="G860" s="202"/>
      <c r="H860" s="203"/>
      <c r="I860" s="125"/>
      <c r="J860" s="190" t="s">
        <v>933</v>
      </c>
      <c r="K860" s="124" t="s">
        <v>457</v>
      </c>
      <c r="L860" s="204" t="s">
        <v>457</v>
      </c>
      <c r="M860" s="1567" t="s">
        <v>457</v>
      </c>
      <c r="N860" s="1563" t="s">
        <v>457</v>
      </c>
      <c r="O860" s="1562" t="s">
        <v>457</v>
      </c>
      <c r="P860" s="1567" t="s">
        <v>457</v>
      </c>
      <c r="R860" s="2563"/>
      <c r="S860" s="2563"/>
      <c r="T860" s="2563"/>
      <c r="U860" s="2563"/>
      <c r="V860" s="2563"/>
      <c r="W860" s="2563"/>
      <c r="X860" s="2563"/>
      <c r="Y860" s="2563"/>
      <c r="Z860" s="2563"/>
      <c r="AA860" s="2563"/>
      <c r="AB860" s="2563"/>
    </row>
    <row r="861" spans="1:28" s="165" customFormat="1" ht="15.75">
      <c r="A861" s="206"/>
      <c r="B861" s="88" t="s">
        <v>934</v>
      </c>
      <c r="C861" s="207"/>
      <c r="D861" s="207"/>
      <c r="E861" s="207"/>
      <c r="F861" s="207"/>
      <c r="G861" s="207"/>
      <c r="H861" s="208"/>
      <c r="I861" s="209"/>
      <c r="J861" s="210"/>
      <c r="K861" s="486"/>
      <c r="L861" s="276"/>
      <c r="M861" s="213"/>
      <c r="N861" s="208"/>
      <c r="O861" s="1670"/>
      <c r="P861" s="1633"/>
      <c r="R861" s="2575"/>
      <c r="S861" s="2575"/>
      <c r="T861" s="2575"/>
      <c r="U861" s="2575"/>
      <c r="V861" s="2575"/>
      <c r="W861" s="2575"/>
      <c r="X861" s="2575"/>
      <c r="Y861" s="2575"/>
      <c r="Z861" s="2575"/>
      <c r="AA861" s="2575"/>
      <c r="AB861" s="2575"/>
    </row>
    <row r="862" spans="1:28" s="165" customFormat="1" ht="15.75">
      <c r="A862" s="187"/>
      <c r="B862" s="149"/>
      <c r="C862" s="149"/>
      <c r="D862" s="149"/>
      <c r="E862" s="149"/>
      <c r="F862" s="149"/>
      <c r="G862" s="149"/>
      <c r="H862" s="219"/>
      <c r="I862" s="122"/>
      <c r="J862" s="149"/>
      <c r="K862" s="123"/>
      <c r="L862" s="271"/>
      <c r="M862" s="123"/>
      <c r="N862" s="219"/>
      <c r="O862" s="1649"/>
      <c r="P862" s="314"/>
      <c r="R862" s="2575"/>
      <c r="S862" s="2575"/>
      <c r="T862" s="2575"/>
      <c r="U862" s="2575"/>
      <c r="V862" s="2575"/>
      <c r="W862" s="2575"/>
      <c r="X862" s="2575"/>
      <c r="Y862" s="2575"/>
      <c r="Z862" s="2575"/>
      <c r="AA862" s="2575"/>
      <c r="AB862" s="2575"/>
    </row>
    <row r="863" spans="1:28" s="165" customFormat="1" ht="16.5">
      <c r="A863" s="309">
        <f>A689</f>
        <v>1</v>
      </c>
      <c r="B863" s="310" t="str">
        <f>B689</f>
        <v>Определение гормонов методом иммуноферментного</v>
      </c>
      <c r="C863" s="310"/>
      <c r="D863" s="310"/>
      <c r="E863" s="310"/>
      <c r="F863" s="310"/>
      <c r="G863" s="310"/>
      <c r="H863" s="311"/>
      <c r="I863" s="122"/>
      <c r="J863" s="149"/>
      <c r="K863" s="123"/>
      <c r="L863" s="1289"/>
      <c r="M863" s="123"/>
      <c r="N863" s="219"/>
      <c r="O863" s="1649"/>
      <c r="P863" s="314"/>
      <c r="R863" s="2575"/>
      <c r="S863" s="2575"/>
      <c r="T863" s="2575"/>
      <c r="U863" s="2575"/>
      <c r="V863" s="2575"/>
      <c r="W863" s="2575"/>
      <c r="X863" s="2575"/>
      <c r="Y863" s="2575"/>
      <c r="Z863" s="2575"/>
      <c r="AA863" s="2575"/>
      <c r="AB863" s="2575"/>
    </row>
    <row r="864" spans="1:28" s="165" customFormat="1" ht="17.25">
      <c r="A864" s="309"/>
      <c r="B864" s="310" t="str">
        <f>B690</f>
        <v>анализа с полуавтоматизированным расчетом</v>
      </c>
      <c r="C864" s="310"/>
      <c r="D864" s="310"/>
      <c r="E864" s="310"/>
      <c r="F864" s="310"/>
      <c r="G864" s="310"/>
      <c r="H864" s="312" t="str">
        <f>G704</f>
        <v>ТТГ</v>
      </c>
      <c r="I864" s="225" t="s">
        <v>945</v>
      </c>
      <c r="J864" s="1994">
        <f aca="true" t="shared" si="81" ref="J864:L867">J704</f>
        <v>7.18</v>
      </c>
      <c r="K864" s="1936" t="str">
        <f t="shared" si="81"/>
        <v>-</v>
      </c>
      <c r="L864" s="1995">
        <f t="shared" si="81"/>
        <v>3.8877999999999995</v>
      </c>
      <c r="M864" s="1996">
        <f>M704-0.3</f>
        <v>10.767799999999998</v>
      </c>
      <c r="N864" s="1997" t="str">
        <f>N704</f>
        <v>-</v>
      </c>
      <c r="O864" s="1587">
        <f>M864/10000</f>
        <v>0.0010767799999999998</v>
      </c>
      <c r="P864" s="314"/>
      <c r="R864" s="2575"/>
      <c r="S864" s="2575"/>
      <c r="T864" s="2575"/>
      <c r="U864" s="2575"/>
      <c r="V864" s="2575"/>
      <c r="W864" s="2575"/>
      <c r="X864" s="2575"/>
      <c r="Y864" s="2575"/>
      <c r="Z864" s="2575"/>
      <c r="AA864" s="2575"/>
      <c r="AB864" s="2575"/>
    </row>
    <row r="865" spans="1:28" s="165" customFormat="1" ht="17.25">
      <c r="A865" s="187"/>
      <c r="B865" s="310"/>
      <c r="C865" s="310"/>
      <c r="D865" s="310"/>
      <c r="E865" s="310"/>
      <c r="F865" s="310"/>
      <c r="G865" s="310"/>
      <c r="H865" s="312" t="str">
        <f>G705</f>
        <v>Т4</v>
      </c>
      <c r="I865" s="225" t="s">
        <v>945</v>
      </c>
      <c r="J865" s="1994">
        <f t="shared" si="81"/>
        <v>7.180000000000001</v>
      </c>
      <c r="K865" s="1936" t="str">
        <f t="shared" si="81"/>
        <v>-</v>
      </c>
      <c r="L865" s="1995">
        <f t="shared" si="81"/>
        <v>4.056799999999999</v>
      </c>
      <c r="M865" s="1996">
        <f>M705</f>
        <v>11.236799999999999</v>
      </c>
      <c r="N865" s="1997" t="str">
        <f>N705</f>
        <v>-</v>
      </c>
      <c r="O865" s="1587">
        <f>M865/10000</f>
        <v>0.00112368</v>
      </c>
      <c r="P865" s="314"/>
      <c r="R865" s="2575"/>
      <c r="S865" s="2575"/>
      <c r="T865" s="2575"/>
      <c r="U865" s="2575"/>
      <c r="V865" s="2575"/>
      <c r="W865" s="2575"/>
      <c r="X865" s="2575"/>
      <c r="Y865" s="2575"/>
      <c r="Z865" s="2575"/>
      <c r="AA865" s="2575"/>
      <c r="AB865" s="2575"/>
    </row>
    <row r="866" spans="1:28" s="165" customFormat="1" ht="17.25">
      <c r="A866" s="187"/>
      <c r="B866" s="310"/>
      <c r="C866" s="310"/>
      <c r="D866" s="310"/>
      <c r="E866" s="310"/>
      <c r="F866" s="310"/>
      <c r="G866" s="310"/>
      <c r="H866" s="312" t="str">
        <f>G706</f>
        <v>Анти-ТПО</v>
      </c>
      <c r="I866" s="225" t="s">
        <v>945</v>
      </c>
      <c r="J866" s="1994">
        <f t="shared" si="81"/>
        <v>7.180000000000001</v>
      </c>
      <c r="K866" s="1936" t="str">
        <f t="shared" si="81"/>
        <v>-</v>
      </c>
      <c r="L866" s="1995">
        <f t="shared" si="81"/>
        <v>4.052999999999998</v>
      </c>
      <c r="M866" s="1996">
        <f>M706</f>
        <v>11.233</v>
      </c>
      <c r="N866" s="1997" t="str">
        <f>N706</f>
        <v>-</v>
      </c>
      <c r="O866" s="1587">
        <f>M866/10000</f>
        <v>0.0011233</v>
      </c>
      <c r="P866" s="314"/>
      <c r="R866" s="2575"/>
      <c r="S866" s="2575"/>
      <c r="T866" s="2575"/>
      <c r="U866" s="2575"/>
      <c r="V866" s="2575"/>
      <c r="W866" s="2575"/>
      <c r="X866" s="2575"/>
      <c r="Y866" s="2575"/>
      <c r="Z866" s="2575"/>
      <c r="AA866" s="2575"/>
      <c r="AB866" s="2575"/>
    </row>
    <row r="867" spans="1:28" s="165" customFormat="1" ht="17.25">
      <c r="A867" s="187"/>
      <c r="B867" s="310"/>
      <c r="C867" s="310"/>
      <c r="D867" s="310"/>
      <c r="E867" s="310"/>
      <c r="F867" s="310"/>
      <c r="G867" s="310"/>
      <c r="H867" s="312" t="str">
        <f>G707</f>
        <v>Сифилис</v>
      </c>
      <c r="I867" s="225" t="s">
        <v>945</v>
      </c>
      <c r="J867" s="1994">
        <f t="shared" si="81"/>
        <v>7.180000000000001</v>
      </c>
      <c r="K867" s="1936" t="str">
        <f t="shared" si="81"/>
        <v>-</v>
      </c>
      <c r="L867" s="1995">
        <f t="shared" si="81"/>
        <v>4.148999999999999</v>
      </c>
      <c r="M867" s="1996">
        <f>J867+L867</f>
        <v>11.329</v>
      </c>
      <c r="N867" s="1997" t="str">
        <f>N707</f>
        <v>-</v>
      </c>
      <c r="O867" s="1587">
        <f>M867/10000</f>
        <v>0.0011329</v>
      </c>
      <c r="P867" s="314"/>
      <c r="R867" s="2575"/>
      <c r="S867" s="2575"/>
      <c r="T867" s="2575"/>
      <c r="U867" s="2575"/>
      <c r="V867" s="2575"/>
      <c r="W867" s="2575"/>
      <c r="X867" s="2575"/>
      <c r="Y867" s="2575"/>
      <c r="Z867" s="2575"/>
      <c r="AA867" s="2575"/>
      <c r="AB867" s="2575"/>
    </row>
    <row r="868" spans="1:28" s="165" customFormat="1" ht="17.25">
      <c r="A868" s="187"/>
      <c r="B868" s="310"/>
      <c r="C868" s="310"/>
      <c r="D868" s="310"/>
      <c r="E868" s="310"/>
      <c r="F868" s="310"/>
      <c r="G868" s="2301" t="s">
        <v>230</v>
      </c>
      <c r="H868" s="2379"/>
      <c r="I868" s="225" t="s">
        <v>945</v>
      </c>
      <c r="J868" s="1994">
        <f>J867</f>
        <v>7.180000000000001</v>
      </c>
      <c r="K868" s="1936" t="s">
        <v>622</v>
      </c>
      <c r="L868" s="1995">
        <f>L335</f>
        <v>3.7714</v>
      </c>
      <c r="M868" s="1996">
        <f>J868+L868</f>
        <v>10.9514</v>
      </c>
      <c r="N868" s="1997"/>
      <c r="O868" s="1587">
        <f>M868/10000</f>
        <v>0.0010951399999999999</v>
      </c>
      <c r="P868" s="314"/>
      <c r="R868" s="2575"/>
      <c r="S868" s="2575"/>
      <c r="T868" s="2575"/>
      <c r="U868" s="2575"/>
      <c r="V868" s="2575"/>
      <c r="W868" s="2575"/>
      <c r="X868" s="2575"/>
      <c r="Y868" s="2575"/>
      <c r="Z868" s="2575"/>
      <c r="AA868" s="2575"/>
      <c r="AB868" s="2575"/>
    </row>
    <row r="869" spans="1:28" s="165" customFormat="1" ht="16.5">
      <c r="A869" s="309">
        <v>2</v>
      </c>
      <c r="B869" s="2258" t="str">
        <f>B709</f>
        <v>Определение канцеромаркеров методом иммуноферментного анализа</v>
      </c>
      <c r="C869" s="2259"/>
      <c r="D869" s="2259"/>
      <c r="E869" s="2259"/>
      <c r="F869" s="2259"/>
      <c r="G869" s="2259"/>
      <c r="H869" s="2260"/>
      <c r="I869" s="122"/>
      <c r="J869" s="1994"/>
      <c r="K869" s="1998"/>
      <c r="L869" s="1995"/>
      <c r="M869" s="1969"/>
      <c r="N869" s="1956"/>
      <c r="O869" s="1649"/>
      <c r="P869" s="314"/>
      <c r="R869" s="2575"/>
      <c r="S869" s="2575"/>
      <c r="T869" s="2575"/>
      <c r="U869" s="2575"/>
      <c r="V869" s="2575"/>
      <c r="W869" s="2575"/>
      <c r="X869" s="2575"/>
      <c r="Y869" s="2575"/>
      <c r="Z869" s="2575"/>
      <c r="AA869" s="2575"/>
      <c r="AB869" s="2575"/>
    </row>
    <row r="870" spans="1:28" s="165" customFormat="1" ht="16.5">
      <c r="A870" s="309"/>
      <c r="B870" s="2258"/>
      <c r="C870" s="2259"/>
      <c r="D870" s="2259"/>
      <c r="E870" s="2259"/>
      <c r="F870" s="2259"/>
      <c r="G870" s="2259"/>
      <c r="H870" s="2260"/>
      <c r="I870" s="313"/>
      <c r="J870" s="1994"/>
      <c r="K870" s="1998"/>
      <c r="L870" s="1995"/>
      <c r="M870" s="1969"/>
      <c r="N870" s="1956"/>
      <c r="O870" s="1649"/>
      <c r="P870" s="314"/>
      <c r="R870" s="2575"/>
      <c r="S870" s="2575"/>
      <c r="T870" s="2575"/>
      <c r="U870" s="2575"/>
      <c r="V870" s="2575"/>
      <c r="W870" s="2575"/>
      <c r="X870" s="2575"/>
      <c r="Y870" s="2575"/>
      <c r="Z870" s="2575"/>
      <c r="AA870" s="2575"/>
      <c r="AB870" s="2575"/>
    </row>
    <row r="871" spans="1:28" s="165" customFormat="1" ht="17.25">
      <c r="A871" s="309"/>
      <c r="B871" s="315"/>
      <c r="C871" s="316"/>
      <c r="D871" s="316"/>
      <c r="E871" s="316"/>
      <c r="F871" s="316"/>
      <c r="G871" s="2299" t="str">
        <f>F723</f>
        <v>мужчины</v>
      </c>
      <c r="H871" s="2300"/>
      <c r="I871" s="225" t="s">
        <v>945</v>
      </c>
      <c r="J871" s="1994">
        <f>J723</f>
        <v>10.579999999999998</v>
      </c>
      <c r="K871" s="1936" t="s">
        <v>622</v>
      </c>
      <c r="L871" s="1995">
        <f aca="true" t="shared" si="82" ref="L871:M873">L723</f>
        <v>3.9588</v>
      </c>
      <c r="M871" s="1996">
        <f t="shared" si="82"/>
        <v>14.538799999999998</v>
      </c>
      <c r="N871" s="1955" t="s">
        <v>622</v>
      </c>
      <c r="O871" s="1587">
        <f>M871/10000</f>
        <v>0.0014538799999999998</v>
      </c>
      <c r="P871" s="314"/>
      <c r="R871" s="2575"/>
      <c r="S871" s="2575"/>
      <c r="T871" s="2575"/>
      <c r="U871" s="2575"/>
      <c r="V871" s="2575"/>
      <c r="W871" s="2575"/>
      <c r="X871" s="2575"/>
      <c r="Y871" s="2575"/>
      <c r="Z871" s="2575"/>
      <c r="AA871" s="2575"/>
      <c r="AB871" s="2575"/>
    </row>
    <row r="872" spans="1:28" s="165" customFormat="1" ht="17.25">
      <c r="A872" s="187"/>
      <c r="B872" s="310"/>
      <c r="C872" s="310"/>
      <c r="D872" s="310"/>
      <c r="E872" s="310"/>
      <c r="F872" s="310"/>
      <c r="G872" s="2299" t="str">
        <f>F724</f>
        <v>женщины</v>
      </c>
      <c r="H872" s="2300"/>
      <c r="I872" s="225" t="s">
        <v>945</v>
      </c>
      <c r="J872" s="1994">
        <f>J723</f>
        <v>10.579999999999998</v>
      </c>
      <c r="K872" s="1936" t="s">
        <v>622</v>
      </c>
      <c r="L872" s="1995">
        <f t="shared" si="82"/>
        <v>10.5024</v>
      </c>
      <c r="M872" s="1996">
        <f t="shared" si="82"/>
        <v>21.082399999999996</v>
      </c>
      <c r="N872" s="1955" t="s">
        <v>622</v>
      </c>
      <c r="O872" s="1587">
        <f>M872/10000</f>
        <v>0.0021082399999999995</v>
      </c>
      <c r="P872" s="314"/>
      <c r="R872" s="2575"/>
      <c r="S872" s="2575"/>
      <c r="T872" s="2575"/>
      <c r="U872" s="2575"/>
      <c r="V872" s="2575"/>
      <c r="W872" s="2575"/>
      <c r="X872" s="2575"/>
      <c r="Y872" s="2575"/>
      <c r="Z872" s="2575"/>
      <c r="AA872" s="2575"/>
      <c r="AB872" s="2575"/>
    </row>
    <row r="873" spans="1:28" s="165" customFormat="1" ht="17.25">
      <c r="A873" s="187"/>
      <c r="B873" s="310"/>
      <c r="C873" s="310"/>
      <c r="D873" s="310"/>
      <c r="E873" s="310"/>
      <c r="F873" s="310"/>
      <c r="G873" s="2299" t="str">
        <f>F725</f>
        <v>СА 19-9</v>
      </c>
      <c r="H873" s="2300"/>
      <c r="I873" s="225" t="s">
        <v>945</v>
      </c>
      <c r="J873" s="1994">
        <f>J724</f>
        <v>10.579999999999998</v>
      </c>
      <c r="K873" s="1936" t="s">
        <v>622</v>
      </c>
      <c r="L873" s="1995">
        <f t="shared" si="82"/>
        <v>12.195500000000001</v>
      </c>
      <c r="M873" s="1996">
        <f t="shared" si="82"/>
        <v>22.775499999999997</v>
      </c>
      <c r="N873" s="1955" t="s">
        <v>622</v>
      </c>
      <c r="O873" s="1587">
        <f>M873/10000</f>
        <v>0.0022775499999999997</v>
      </c>
      <c r="P873" s="314"/>
      <c r="R873" s="2575"/>
      <c r="S873" s="2575"/>
      <c r="T873" s="2575"/>
      <c r="U873" s="2575"/>
      <c r="V873" s="2575"/>
      <c r="W873" s="2575"/>
      <c r="X873" s="2575"/>
      <c r="Y873" s="2575"/>
      <c r="Z873" s="2575"/>
      <c r="AA873" s="2575"/>
      <c r="AB873" s="2575"/>
    </row>
    <row r="874" spans="1:28" s="165" customFormat="1" ht="16.5">
      <c r="A874" s="187"/>
      <c r="B874" s="310"/>
      <c r="C874" s="310"/>
      <c r="D874" s="310"/>
      <c r="E874" s="310"/>
      <c r="F874" s="310"/>
      <c r="G874" s="310"/>
      <c r="H874" s="311"/>
      <c r="I874" s="122"/>
      <c r="J874" s="1994"/>
      <c r="K874" s="1998"/>
      <c r="L874" s="1995"/>
      <c r="M874" s="1969"/>
      <c r="N874" s="1956"/>
      <c r="O874" s="1649"/>
      <c r="P874" s="314"/>
      <c r="R874" s="2575"/>
      <c r="S874" s="2575"/>
      <c r="T874" s="2575"/>
      <c r="U874" s="2575"/>
      <c r="V874" s="2575"/>
      <c r="W874" s="2575"/>
      <c r="X874" s="2575"/>
      <c r="Y874" s="2575"/>
      <c r="Z874" s="2575"/>
      <c r="AA874" s="2575"/>
      <c r="AB874" s="2575"/>
    </row>
    <row r="875" spans="1:28" s="165" customFormat="1" ht="17.25">
      <c r="A875" s="309">
        <f>A727</f>
        <v>3</v>
      </c>
      <c r="B875" s="310" t="str">
        <f>B727</f>
        <v>Общий  анализ крови</v>
      </c>
      <c r="C875" s="310"/>
      <c r="D875" s="310"/>
      <c r="E875" s="310"/>
      <c r="F875" s="310"/>
      <c r="G875" s="310"/>
      <c r="H875" s="311"/>
      <c r="I875" s="225" t="s">
        <v>945</v>
      </c>
      <c r="J875" s="1994">
        <f>J743</f>
        <v>14.02</v>
      </c>
      <c r="K875" s="1998">
        <f>K743</f>
        <v>10.429999999999998</v>
      </c>
      <c r="L875" s="1995">
        <f>L743</f>
        <v>1.06116</v>
      </c>
      <c r="M875" s="1996">
        <f>M743</f>
        <v>15.08116</v>
      </c>
      <c r="N875" s="1999">
        <f>N743</f>
        <v>11.49116</v>
      </c>
      <c r="O875" s="1587">
        <f>M875/10000</f>
        <v>0.001508116</v>
      </c>
      <c r="P875" s="1595">
        <f>N875/10000</f>
        <v>0.0011491160000000002</v>
      </c>
      <c r="R875" s="2575"/>
      <c r="S875" s="2575"/>
      <c r="T875" s="2575"/>
      <c r="U875" s="2575"/>
      <c r="V875" s="2575"/>
      <c r="W875" s="2575"/>
      <c r="X875" s="2575"/>
      <c r="Y875" s="2575"/>
      <c r="Z875" s="2575"/>
      <c r="AA875" s="2575"/>
      <c r="AB875" s="2575"/>
    </row>
    <row r="876" spans="1:28" s="165" customFormat="1" ht="16.5">
      <c r="A876" s="187"/>
      <c r="B876" s="310"/>
      <c r="C876" s="310"/>
      <c r="D876" s="310"/>
      <c r="E876" s="310"/>
      <c r="F876" s="310"/>
      <c r="G876" s="310"/>
      <c r="H876" s="311"/>
      <c r="I876" s="122"/>
      <c r="J876" s="1994"/>
      <c r="K876" s="1998"/>
      <c r="L876" s="1995"/>
      <c r="M876" s="1969"/>
      <c r="N876" s="1956"/>
      <c r="O876" s="1649"/>
      <c r="P876" s="314"/>
      <c r="R876" s="2575"/>
      <c r="S876" s="2575"/>
      <c r="T876" s="2575"/>
      <c r="U876" s="2575"/>
      <c r="V876" s="2575"/>
      <c r="W876" s="2575"/>
      <c r="X876" s="2575"/>
      <c r="Y876" s="2575"/>
      <c r="Z876" s="2575"/>
      <c r="AA876" s="2575"/>
      <c r="AB876" s="2575"/>
    </row>
    <row r="877" spans="1:28" s="165" customFormat="1" ht="16.5">
      <c r="A877" s="187"/>
      <c r="B877" s="310"/>
      <c r="C877" s="310"/>
      <c r="D877" s="310"/>
      <c r="E877" s="310"/>
      <c r="F877" s="310"/>
      <c r="G877" s="310"/>
      <c r="H877" s="311"/>
      <c r="I877" s="122"/>
      <c r="J877" s="1994"/>
      <c r="K877" s="1998"/>
      <c r="L877" s="1995"/>
      <c r="M877" s="1969"/>
      <c r="N877" s="1956"/>
      <c r="O877" s="1649"/>
      <c r="P877" s="314"/>
      <c r="R877" s="2575"/>
      <c r="S877" s="2575"/>
      <c r="T877" s="2575"/>
      <c r="U877" s="2575"/>
      <c r="V877" s="2575"/>
      <c r="W877" s="2575"/>
      <c r="X877" s="2575"/>
      <c r="Y877" s="2575"/>
      <c r="Z877" s="2575"/>
      <c r="AA877" s="2575"/>
      <c r="AB877" s="2575"/>
    </row>
    <row r="878" spans="1:28" s="165" customFormat="1" ht="17.25">
      <c r="A878" s="309">
        <f>A744</f>
        <v>4</v>
      </c>
      <c r="B878" s="310" t="str">
        <f>B744</f>
        <v>Развернутый  анализ крови</v>
      </c>
      <c r="C878" s="310"/>
      <c r="D878" s="310"/>
      <c r="E878" s="310"/>
      <c r="F878" s="310"/>
      <c r="G878" s="310"/>
      <c r="H878" s="311"/>
      <c r="I878" s="225" t="s">
        <v>945</v>
      </c>
      <c r="J878" s="1994">
        <f>J762</f>
        <v>24.45</v>
      </c>
      <c r="K878" s="1998">
        <f>K762</f>
        <v>18.580000000000002</v>
      </c>
      <c r="L878" s="1995">
        <f>L762</f>
        <v>1.4081899999999998</v>
      </c>
      <c r="M878" s="1996">
        <f>M762</f>
        <v>25.858189999999997</v>
      </c>
      <c r="N878" s="1999">
        <f>N762</f>
        <v>19.98819</v>
      </c>
      <c r="O878" s="1587">
        <f>M878/10000</f>
        <v>0.0025858189999999996</v>
      </c>
      <c r="P878" s="1595">
        <f>N878/10000</f>
        <v>0.0019988189999999998</v>
      </c>
      <c r="R878" s="2575"/>
      <c r="S878" s="2575"/>
      <c r="T878" s="2575"/>
      <c r="U878" s="2575"/>
      <c r="V878" s="2575"/>
      <c r="W878" s="2575"/>
      <c r="X878" s="2575"/>
      <c r="Y878" s="2575"/>
      <c r="Z878" s="2575"/>
      <c r="AA878" s="2575"/>
      <c r="AB878" s="2575"/>
    </row>
    <row r="879" spans="1:28" s="165" customFormat="1" ht="16.5">
      <c r="A879" s="187"/>
      <c r="B879" s="310"/>
      <c r="C879" s="310"/>
      <c r="D879" s="310"/>
      <c r="E879" s="310"/>
      <c r="F879" s="310"/>
      <c r="G879" s="310"/>
      <c r="H879" s="311"/>
      <c r="I879" s="122"/>
      <c r="J879" s="1994"/>
      <c r="K879" s="1998"/>
      <c r="L879" s="1995"/>
      <c r="M879" s="1969"/>
      <c r="N879" s="1956"/>
      <c r="O879" s="1649"/>
      <c r="P879" s="314"/>
      <c r="R879" s="2575"/>
      <c r="S879" s="2575"/>
      <c r="T879" s="2575"/>
      <c r="U879" s="2575"/>
      <c r="V879" s="2575"/>
      <c r="W879" s="2575"/>
      <c r="X879" s="2575"/>
      <c r="Y879" s="2575"/>
      <c r="Z879" s="2575"/>
      <c r="AA879" s="2575"/>
      <c r="AB879" s="2575"/>
    </row>
    <row r="880" spans="1:28" s="165" customFormat="1" ht="16.5">
      <c r="A880" s="187"/>
      <c r="B880" s="310"/>
      <c r="C880" s="310"/>
      <c r="D880" s="310"/>
      <c r="E880" s="310"/>
      <c r="F880" s="310"/>
      <c r="G880" s="310"/>
      <c r="H880" s="311"/>
      <c r="I880" s="122"/>
      <c r="J880" s="1994"/>
      <c r="K880" s="1998"/>
      <c r="L880" s="1995"/>
      <c r="M880" s="1969"/>
      <c r="N880" s="1956"/>
      <c r="O880" s="1649"/>
      <c r="P880" s="314"/>
      <c r="R880" s="2575"/>
      <c r="S880" s="2575"/>
      <c r="T880" s="2575"/>
      <c r="U880" s="2575"/>
      <c r="V880" s="2575"/>
      <c r="W880" s="2575"/>
      <c r="X880" s="2575"/>
      <c r="Y880" s="2575"/>
      <c r="Z880" s="2575"/>
      <c r="AA880" s="2575"/>
      <c r="AB880" s="2575"/>
    </row>
    <row r="881" spans="1:28" s="165" customFormat="1" ht="17.25">
      <c r="A881" s="309">
        <f>A763</f>
        <v>5</v>
      </c>
      <c r="B881" s="310" t="str">
        <f>B763</f>
        <v>Общий  анализ крови  (тройка)</v>
      </c>
      <c r="C881" s="310"/>
      <c r="D881" s="310"/>
      <c r="E881" s="310"/>
      <c r="F881" s="310"/>
      <c r="G881" s="310"/>
      <c r="H881" s="311"/>
      <c r="I881" s="225" t="s">
        <v>945</v>
      </c>
      <c r="J881" s="1994">
        <f>J775</f>
        <v>6.19</v>
      </c>
      <c r="K881" s="1998">
        <f>K775</f>
        <v>5.209999999999999</v>
      </c>
      <c r="L881" s="1995">
        <f>L775</f>
        <v>0.5426</v>
      </c>
      <c r="M881" s="1996">
        <f>M775</f>
        <v>6.732600000000001</v>
      </c>
      <c r="N881" s="1999">
        <f>N775</f>
        <v>5.752599999999999</v>
      </c>
      <c r="O881" s="1587">
        <f>M881/10000</f>
        <v>0.0006732600000000001</v>
      </c>
      <c r="P881" s="1595">
        <f>N881/10000</f>
        <v>0.00057526</v>
      </c>
      <c r="R881" s="2575"/>
      <c r="S881" s="2575"/>
      <c r="T881" s="2575"/>
      <c r="U881" s="2575"/>
      <c r="V881" s="2575"/>
      <c r="W881" s="2575"/>
      <c r="X881" s="2575"/>
      <c r="Y881" s="2575"/>
      <c r="Z881" s="2575"/>
      <c r="AA881" s="2575"/>
      <c r="AB881" s="2575"/>
    </row>
    <row r="882" spans="1:28" s="165" customFormat="1" ht="16.5">
      <c r="A882" s="187"/>
      <c r="B882" s="310"/>
      <c r="C882" s="310"/>
      <c r="D882" s="310"/>
      <c r="E882" s="310"/>
      <c r="F882" s="310"/>
      <c r="G882" s="310"/>
      <c r="H882" s="311"/>
      <c r="I882" s="122"/>
      <c r="J882" s="1994"/>
      <c r="K882" s="1998"/>
      <c r="L882" s="1995"/>
      <c r="M882" s="1969"/>
      <c r="N882" s="1956"/>
      <c r="O882" s="1649"/>
      <c r="P882" s="314"/>
      <c r="R882" s="2575"/>
      <c r="S882" s="2575"/>
      <c r="T882" s="2575"/>
      <c r="U882" s="2575"/>
      <c r="V882" s="2575"/>
      <c r="W882" s="2575"/>
      <c r="X882" s="2575"/>
      <c r="Y882" s="2575"/>
      <c r="Z882" s="2575"/>
      <c r="AA882" s="2575"/>
      <c r="AB882" s="2575"/>
    </row>
    <row r="883" spans="1:28" s="165" customFormat="1" ht="16.5">
      <c r="A883" s="187"/>
      <c r="B883" s="310"/>
      <c r="C883" s="310"/>
      <c r="D883" s="310"/>
      <c r="E883" s="310"/>
      <c r="F883" s="310"/>
      <c r="G883" s="310"/>
      <c r="H883" s="311"/>
      <c r="I883" s="122"/>
      <c r="J883" s="1994"/>
      <c r="K883" s="1998"/>
      <c r="L883" s="1995"/>
      <c r="M883" s="1969"/>
      <c r="N883" s="1956"/>
      <c r="O883" s="1649"/>
      <c r="P883" s="314"/>
      <c r="R883" s="2575"/>
      <c r="S883" s="2575"/>
      <c r="T883" s="2575"/>
      <c r="U883" s="2575"/>
      <c r="V883" s="2575"/>
      <c r="W883" s="2575"/>
      <c r="X883" s="2575"/>
      <c r="Y883" s="2575"/>
      <c r="Z883" s="2575"/>
      <c r="AA883" s="2575"/>
      <c r="AB883" s="2575"/>
    </row>
    <row r="884" spans="1:28" s="165" customFormat="1" ht="17.25">
      <c r="A884" s="309">
        <f>A776</f>
        <v>6</v>
      </c>
      <c r="B884" s="310" t="str">
        <f>B776</f>
        <v>Общий  анализ мочи</v>
      </c>
      <c r="C884" s="310"/>
      <c r="D884" s="310"/>
      <c r="E884" s="310"/>
      <c r="F884" s="310"/>
      <c r="G884" s="310"/>
      <c r="H884" s="311"/>
      <c r="I884" s="225" t="s">
        <v>945</v>
      </c>
      <c r="J884" s="1994">
        <f>J788</f>
        <v>7.940000000000001</v>
      </c>
      <c r="K884" s="1998">
        <f>K788</f>
        <v>4.74</v>
      </c>
      <c r="L884" s="1995">
        <f>L788</f>
        <v>0.49523399999999995</v>
      </c>
      <c r="M884" s="1996">
        <f>M788</f>
        <v>8.435234000000001</v>
      </c>
      <c r="N884" s="1999">
        <f>N788</f>
        <v>5.235233999999999</v>
      </c>
      <c r="O884" s="1587">
        <f>M884/10000</f>
        <v>0.0008435234000000001</v>
      </c>
      <c r="P884" s="1595">
        <f>N884/10000</f>
        <v>0.0005235233999999999</v>
      </c>
      <c r="R884" s="2575"/>
      <c r="S884" s="2575"/>
      <c r="T884" s="2575"/>
      <c r="U884" s="2575"/>
      <c r="V884" s="2575"/>
      <c r="W884" s="2575"/>
      <c r="X884" s="2575"/>
      <c r="Y884" s="2575"/>
      <c r="Z884" s="2575"/>
      <c r="AA884" s="2575"/>
      <c r="AB884" s="2575"/>
    </row>
    <row r="885" spans="1:28" s="165" customFormat="1" ht="16.5">
      <c r="A885" s="187"/>
      <c r="B885" s="310"/>
      <c r="C885" s="310"/>
      <c r="D885" s="310"/>
      <c r="E885" s="310"/>
      <c r="F885" s="310"/>
      <c r="G885" s="310"/>
      <c r="H885" s="311"/>
      <c r="I885" s="122"/>
      <c r="J885" s="1994"/>
      <c r="K885" s="1998"/>
      <c r="L885" s="1995"/>
      <c r="M885" s="1969"/>
      <c r="N885" s="1956"/>
      <c r="O885" s="1649"/>
      <c r="P885" s="314"/>
      <c r="R885" s="2575"/>
      <c r="S885" s="2575"/>
      <c r="T885" s="2575"/>
      <c r="U885" s="2575"/>
      <c r="V885" s="2575"/>
      <c r="W885" s="2575"/>
      <c r="X885" s="2575"/>
      <c r="Y885" s="2575"/>
      <c r="Z885" s="2575"/>
      <c r="AA885" s="2575"/>
      <c r="AB885" s="2575"/>
    </row>
    <row r="886" spans="1:28" s="165" customFormat="1" ht="17.25">
      <c r="A886" s="309">
        <f>A789</f>
        <v>7</v>
      </c>
      <c r="B886" s="310" t="str">
        <f>B789</f>
        <v>Определение общего холестерина</v>
      </c>
      <c r="C886" s="310"/>
      <c r="D886" s="310"/>
      <c r="E886" s="310"/>
      <c r="F886" s="310"/>
      <c r="G886" s="310"/>
      <c r="H886" s="311"/>
      <c r="I886" s="225" t="s">
        <v>945</v>
      </c>
      <c r="J886" s="1994">
        <f>J799</f>
        <v>5.85</v>
      </c>
      <c r="K886" s="1998">
        <f>K799</f>
        <v>4.71</v>
      </c>
      <c r="L886" s="1995">
        <f>L799</f>
        <v>0.9057999999999999</v>
      </c>
      <c r="M886" s="1996">
        <f>M799</f>
        <v>6.7558</v>
      </c>
      <c r="N886" s="1999">
        <f>N799</f>
        <v>5.6158</v>
      </c>
      <c r="O886" s="1587">
        <f>M886/10000</f>
        <v>0.00067558</v>
      </c>
      <c r="P886" s="1595">
        <f>N886/10000</f>
        <v>0.00056158</v>
      </c>
      <c r="R886" s="2575"/>
      <c r="S886" s="2575"/>
      <c r="T886" s="2575"/>
      <c r="U886" s="2575"/>
      <c r="V886" s="2575"/>
      <c r="W886" s="2575"/>
      <c r="X886" s="2575"/>
      <c r="Y886" s="2575"/>
      <c r="Z886" s="2575"/>
      <c r="AA886" s="2575"/>
      <c r="AB886" s="2575"/>
    </row>
    <row r="887" spans="1:28" s="165" customFormat="1" ht="16.5">
      <c r="A887" s="187"/>
      <c r="B887" s="310"/>
      <c r="C887" s="310"/>
      <c r="D887" s="310"/>
      <c r="E887" s="310"/>
      <c r="F887" s="310"/>
      <c r="G887" s="310"/>
      <c r="H887" s="311"/>
      <c r="I887" s="122"/>
      <c r="J887" s="1994"/>
      <c r="K887" s="1998"/>
      <c r="L887" s="1995"/>
      <c r="M887" s="1969"/>
      <c r="N887" s="1956"/>
      <c r="O887" s="1649"/>
      <c r="P887" s="314"/>
      <c r="R887" s="2575"/>
      <c r="S887" s="2575"/>
      <c r="T887" s="2575"/>
      <c r="U887" s="2575"/>
      <c r="V887" s="2575"/>
      <c r="W887" s="2575"/>
      <c r="X887" s="2575"/>
      <c r="Y887" s="2575"/>
      <c r="Z887" s="2575"/>
      <c r="AA887" s="2575"/>
      <c r="AB887" s="2575"/>
    </row>
    <row r="888" spans="1:28" s="165" customFormat="1" ht="16.5">
      <c r="A888" s="187"/>
      <c r="B888" s="310"/>
      <c r="C888" s="310"/>
      <c r="D888" s="310"/>
      <c r="E888" s="310"/>
      <c r="F888" s="310"/>
      <c r="G888" s="310"/>
      <c r="H888" s="311"/>
      <c r="I888" s="122"/>
      <c r="J888" s="1994"/>
      <c r="K888" s="1998"/>
      <c r="L888" s="1995"/>
      <c r="M888" s="1969"/>
      <c r="N888" s="1956"/>
      <c r="O888" s="1649"/>
      <c r="P888" s="314"/>
      <c r="R888" s="2575"/>
      <c r="S888" s="2575"/>
      <c r="T888" s="2575"/>
      <c r="U888" s="2575"/>
      <c r="V888" s="2575"/>
      <c r="W888" s="2575"/>
      <c r="X888" s="2575"/>
      <c r="Y888" s="2575"/>
      <c r="Z888" s="2575"/>
      <c r="AA888" s="2575"/>
      <c r="AB888" s="2575"/>
    </row>
    <row r="889" spans="1:28" s="165" customFormat="1" ht="16.5">
      <c r="A889" s="317">
        <f>A800</f>
        <v>8</v>
      </c>
      <c r="B889" s="2259" t="str">
        <f>B800</f>
        <v>Определение холестерина альфа-липопротеинов после осаждения пре-бета- и бета-липопротеинов с расчетом коэффициента атерогенности</v>
      </c>
      <c r="C889" s="2259"/>
      <c r="D889" s="2259"/>
      <c r="E889" s="2259"/>
      <c r="F889" s="2259"/>
      <c r="G889" s="2259"/>
      <c r="H889" s="2260"/>
      <c r="I889" s="318"/>
      <c r="J889" s="1994"/>
      <c r="K889" s="1998"/>
      <c r="L889" s="1995"/>
      <c r="M889" s="1969"/>
      <c r="N889" s="1956"/>
      <c r="O889" s="1649"/>
      <c r="P889" s="314"/>
      <c r="R889" s="2575"/>
      <c r="S889" s="2575"/>
      <c r="T889" s="2575"/>
      <c r="U889" s="2575"/>
      <c r="V889" s="2575"/>
      <c r="W889" s="2575"/>
      <c r="X889" s="2575"/>
      <c r="Y889" s="2575"/>
      <c r="Z889" s="2575"/>
      <c r="AA889" s="2575"/>
      <c r="AB889" s="2575"/>
    </row>
    <row r="890" spans="1:28" s="165" customFormat="1" ht="16.5">
      <c r="A890" s="317"/>
      <c r="B890" s="2259"/>
      <c r="C890" s="2259"/>
      <c r="D890" s="2259"/>
      <c r="E890" s="2259"/>
      <c r="F890" s="2259"/>
      <c r="G890" s="2259"/>
      <c r="H890" s="2260"/>
      <c r="I890" s="318"/>
      <c r="J890" s="1994"/>
      <c r="K890" s="1998"/>
      <c r="L890" s="1995"/>
      <c r="M890" s="1969"/>
      <c r="N890" s="1956"/>
      <c r="O890" s="1649"/>
      <c r="P890" s="314"/>
      <c r="R890" s="2575"/>
      <c r="S890" s="2575"/>
      <c r="T890" s="2575"/>
      <c r="U890" s="2575"/>
      <c r="V890" s="2575"/>
      <c r="W890" s="2575"/>
      <c r="X890" s="2575"/>
      <c r="Y890" s="2575"/>
      <c r="Z890" s="2575"/>
      <c r="AA890" s="2575"/>
      <c r="AB890" s="2575"/>
    </row>
    <row r="891" spans="1:28" s="165" customFormat="1" ht="16.5">
      <c r="A891" s="317"/>
      <c r="B891" s="2259"/>
      <c r="C891" s="2259"/>
      <c r="D891" s="2259"/>
      <c r="E891" s="2259"/>
      <c r="F891" s="2259"/>
      <c r="G891" s="2259"/>
      <c r="H891" s="2260"/>
      <c r="I891" s="318"/>
      <c r="J891" s="1994"/>
      <c r="K891" s="1998"/>
      <c r="L891" s="1995"/>
      <c r="M891" s="1969"/>
      <c r="N891" s="1956"/>
      <c r="O891" s="1649"/>
      <c r="P891" s="314"/>
      <c r="R891" s="2575"/>
      <c r="S891" s="2575"/>
      <c r="T891" s="2575"/>
      <c r="U891" s="2575"/>
      <c r="V891" s="2575"/>
      <c r="W891" s="2575"/>
      <c r="X891" s="2575"/>
      <c r="Y891" s="2575"/>
      <c r="Z891" s="2575"/>
      <c r="AA891" s="2575"/>
      <c r="AB891" s="2575"/>
    </row>
    <row r="892" spans="1:28" s="165" customFormat="1" ht="17.25">
      <c r="A892" s="187"/>
      <c r="B892" s="310"/>
      <c r="C892" s="310"/>
      <c r="D892" s="310"/>
      <c r="E892" s="310"/>
      <c r="F892" s="2301" t="str">
        <f>E816</f>
        <v>альфа-холестерин</v>
      </c>
      <c r="G892" s="2301"/>
      <c r="H892" s="2302"/>
      <c r="I892" s="225" t="s">
        <v>945</v>
      </c>
      <c r="J892" s="1994">
        <f aca="true" t="shared" si="83" ref="J892:N893">J816</f>
        <v>6.83</v>
      </c>
      <c r="K892" s="1998">
        <f t="shared" si="83"/>
        <v>5.369999999999999</v>
      </c>
      <c r="L892" s="1995">
        <f t="shared" si="83"/>
        <v>0.6158267619999999</v>
      </c>
      <c r="M892" s="1996">
        <f t="shared" si="83"/>
        <v>7.445826761999999</v>
      </c>
      <c r="N892" s="1999">
        <f t="shared" si="83"/>
        <v>5.985826762</v>
      </c>
      <c r="O892" s="1587">
        <f>M892/10000</f>
        <v>0.0007445826761999999</v>
      </c>
      <c r="P892" s="1595">
        <f>N892/10000</f>
        <v>0.0005985826762</v>
      </c>
      <c r="R892" s="2575"/>
      <c r="S892" s="2575"/>
      <c r="T892" s="2575"/>
      <c r="U892" s="2575"/>
      <c r="V892" s="2575"/>
      <c r="W892" s="2575"/>
      <c r="X892" s="2575"/>
      <c r="Y892" s="2575"/>
      <c r="Z892" s="2575"/>
      <c r="AA892" s="2575"/>
      <c r="AB892" s="2575"/>
    </row>
    <row r="893" spans="1:28" s="165" customFormat="1" ht="17.25">
      <c r="A893" s="187"/>
      <c r="B893" s="310"/>
      <c r="C893" s="310"/>
      <c r="D893" s="310"/>
      <c r="E893" s="310"/>
      <c r="F893" s="2301" t="str">
        <f>E817</f>
        <v>ЛНП-холестерин</v>
      </c>
      <c r="G893" s="2301"/>
      <c r="H893" s="2302"/>
      <c r="I893" s="225" t="s">
        <v>945</v>
      </c>
      <c r="J893" s="1994">
        <f t="shared" si="83"/>
        <v>6.370000000000001</v>
      </c>
      <c r="K893" s="1998">
        <f t="shared" si="83"/>
        <v>5.145</v>
      </c>
      <c r="L893" s="1995">
        <f t="shared" si="83"/>
        <v>0.6158153689999999</v>
      </c>
      <c r="M893" s="1996">
        <f t="shared" si="83"/>
        <v>6.985815368999999</v>
      </c>
      <c r="N893" s="1999">
        <f t="shared" si="83"/>
        <v>5.7608153689999995</v>
      </c>
      <c r="O893" s="1587">
        <f>M893/10000</f>
        <v>0.0006985815368999999</v>
      </c>
      <c r="P893" s="1595">
        <f>N893/10000</f>
        <v>0.0005760815368999999</v>
      </c>
      <c r="R893" s="2575"/>
      <c r="S893" s="2575"/>
      <c r="T893" s="2575"/>
      <c r="U893" s="2575"/>
      <c r="V893" s="2575"/>
      <c r="W893" s="2575"/>
      <c r="X893" s="2575"/>
      <c r="Y893" s="2575"/>
      <c r="Z893" s="2575"/>
      <c r="AA893" s="2575"/>
      <c r="AB893" s="2575"/>
    </row>
    <row r="894" spans="1:28" s="165" customFormat="1" ht="17.25">
      <c r="A894" s="187"/>
      <c r="B894" s="310"/>
      <c r="C894" s="310"/>
      <c r="D894" s="310"/>
      <c r="E894" s="310"/>
      <c r="F894" s="1145"/>
      <c r="G894" s="1145"/>
      <c r="H894" s="312"/>
      <c r="I894" s="225"/>
      <c r="J894" s="1994"/>
      <c r="K894" s="1998"/>
      <c r="L894" s="1995"/>
      <c r="M894" s="1996"/>
      <c r="N894" s="1999"/>
      <c r="O894" s="1649"/>
      <c r="P894" s="314"/>
      <c r="R894" s="2575"/>
      <c r="S894" s="2575"/>
      <c r="T894" s="2575"/>
      <c r="U894" s="2575"/>
      <c r="V894" s="2575"/>
      <c r="W894" s="2575"/>
      <c r="X894" s="2575"/>
      <c r="Y894" s="2575"/>
      <c r="Z894" s="2575"/>
      <c r="AA894" s="2575"/>
      <c r="AB894" s="2575"/>
    </row>
    <row r="895" spans="1:28" s="165" customFormat="1" ht="17.25">
      <c r="A895" s="317">
        <v>9</v>
      </c>
      <c r="B895" s="310" t="s">
        <v>255</v>
      </c>
      <c r="C895" s="310"/>
      <c r="D895" s="310"/>
      <c r="E895" s="310"/>
      <c r="F895" s="1145"/>
      <c r="G895" s="1145"/>
      <c r="H895" s="312"/>
      <c r="I895" s="225" t="s">
        <v>256</v>
      </c>
      <c r="J895" s="1994">
        <f>J892+J608</f>
        <v>8.46</v>
      </c>
      <c r="K895" s="1998">
        <f>K892+K608</f>
        <v>6.02</v>
      </c>
      <c r="L895" s="2000">
        <f>L892+L608</f>
        <v>1.3678067619999998</v>
      </c>
      <c r="M895" s="1996">
        <f>J895+L895</f>
        <v>9.827806762000002</v>
      </c>
      <c r="N895" s="1999">
        <f>K895+L895</f>
        <v>7.387806761999999</v>
      </c>
      <c r="O895" s="1587">
        <f>M895/10000</f>
        <v>0.0009827806762000002</v>
      </c>
      <c r="P895" s="1595">
        <f>N895/10000</f>
        <v>0.0007387806761999999</v>
      </c>
      <c r="R895" s="2575"/>
      <c r="S895" s="2575"/>
      <c r="T895" s="2575"/>
      <c r="U895" s="2575"/>
      <c r="V895" s="2575"/>
      <c r="W895" s="2575"/>
      <c r="X895" s="2575"/>
      <c r="Y895" s="2575"/>
      <c r="Z895" s="2575"/>
      <c r="AA895" s="2575"/>
      <c r="AB895" s="2575"/>
    </row>
    <row r="896" spans="1:28" s="165" customFormat="1" ht="17.25">
      <c r="A896" s="187"/>
      <c r="B896" s="310"/>
      <c r="C896" s="310"/>
      <c r="D896" s="310"/>
      <c r="E896" s="310"/>
      <c r="F896" s="1145"/>
      <c r="G896" s="1145"/>
      <c r="H896" s="312"/>
      <c r="I896" s="225"/>
      <c r="J896" s="1994"/>
      <c r="K896" s="1998"/>
      <c r="L896" s="1995"/>
      <c r="M896" s="1996"/>
      <c r="N896" s="1999"/>
      <c r="O896" s="1649"/>
      <c r="P896" s="314"/>
      <c r="R896" s="2575"/>
      <c r="S896" s="2575"/>
      <c r="T896" s="2575"/>
      <c r="U896" s="2575"/>
      <c r="V896" s="2575"/>
      <c r="W896" s="2575"/>
      <c r="X896" s="2575"/>
      <c r="Y896" s="2575"/>
      <c r="Z896" s="2575"/>
      <c r="AA896" s="2575"/>
      <c r="AB896" s="2575"/>
    </row>
    <row r="897" spans="1:28" s="165" customFormat="1" ht="16.5">
      <c r="A897" s="124"/>
      <c r="B897" s="321"/>
      <c r="C897" s="321"/>
      <c r="D897" s="321"/>
      <c r="E897" s="321"/>
      <c r="F897" s="321"/>
      <c r="G897" s="321"/>
      <c r="H897" s="322"/>
      <c r="I897" s="120"/>
      <c r="J897" s="2001"/>
      <c r="K897" s="2002"/>
      <c r="L897" s="2003"/>
      <c r="M897" s="2004"/>
      <c r="N897" s="2005"/>
      <c r="O897" s="1669"/>
      <c r="P897" s="1668"/>
      <c r="R897" s="2575"/>
      <c r="S897" s="2575"/>
      <c r="T897" s="2575"/>
      <c r="U897" s="2575"/>
      <c r="V897" s="2575"/>
      <c r="W897" s="2575"/>
      <c r="X897" s="2575"/>
      <c r="Y897" s="2575"/>
      <c r="Z897" s="2575"/>
      <c r="AA897" s="2575"/>
      <c r="AB897" s="2575"/>
    </row>
    <row r="898" spans="1:28" s="165" customFormat="1" ht="15.75">
      <c r="A898" s="148"/>
      <c r="B898" s="149"/>
      <c r="C898" s="149"/>
      <c r="D898" s="149"/>
      <c r="E898" s="149"/>
      <c r="F898" s="149"/>
      <c r="G898" s="149"/>
      <c r="H898" s="149"/>
      <c r="I898" s="119"/>
      <c r="J898" s="150"/>
      <c r="K898" s="150"/>
      <c r="L898" s="256"/>
      <c r="M898" s="150"/>
      <c r="N898" s="150"/>
      <c r="R898" s="2575"/>
      <c r="S898" s="2575"/>
      <c r="T898" s="2575"/>
      <c r="U898" s="2575"/>
      <c r="V898" s="2575"/>
      <c r="W898" s="2575"/>
      <c r="X898" s="2575"/>
      <c r="Y898" s="2575"/>
      <c r="Z898" s="2575"/>
      <c r="AA898" s="2575"/>
      <c r="AB898" s="2575"/>
    </row>
    <row r="899" spans="1:28" s="165" customFormat="1" ht="15.75">
      <c r="A899" s="325" t="str">
        <f>A673</f>
        <v>Главный бухгалтер</v>
      </c>
      <c r="B899" s="325"/>
      <c r="C899" s="325"/>
      <c r="D899" s="325"/>
      <c r="E899" s="325"/>
      <c r="F899" s="325"/>
      <c r="G899" s="325"/>
      <c r="H899" s="325"/>
      <c r="I899" s="325"/>
      <c r="J899" s="326"/>
      <c r="K899" s="325"/>
      <c r="L899" s="325"/>
      <c r="M899" s="326"/>
      <c r="N899" s="325" t="str">
        <f>N673</f>
        <v>М.В. Ровгач</v>
      </c>
      <c r="R899" s="2575"/>
      <c r="S899" s="2575"/>
      <c r="T899" s="2575"/>
      <c r="U899" s="2575"/>
      <c r="V899" s="2575"/>
      <c r="W899" s="2575"/>
      <c r="X899" s="2575"/>
      <c r="Y899" s="2575"/>
      <c r="Z899" s="2575"/>
      <c r="AA899" s="2575"/>
      <c r="AB899" s="2575"/>
    </row>
    <row r="900" spans="1:28" s="165" customFormat="1" ht="15.75">
      <c r="A900" s="325"/>
      <c r="B900" s="325"/>
      <c r="C900" s="325"/>
      <c r="D900" s="325"/>
      <c r="E900" s="325"/>
      <c r="F900" s="325"/>
      <c r="G900" s="325"/>
      <c r="H900" s="325"/>
      <c r="I900" s="325"/>
      <c r="J900" s="326"/>
      <c r="K900" s="326"/>
      <c r="L900" s="327"/>
      <c r="M900" s="326"/>
      <c r="N900" s="326"/>
      <c r="R900" s="2575"/>
      <c r="S900" s="2575"/>
      <c r="T900" s="2575"/>
      <c r="U900" s="2575"/>
      <c r="V900" s="2575"/>
      <c r="W900" s="2575"/>
      <c r="X900" s="2575"/>
      <c r="Y900" s="2575"/>
      <c r="Z900" s="2575"/>
      <c r="AA900" s="2575"/>
      <c r="AB900" s="2575"/>
    </row>
    <row r="901" spans="1:28" s="165" customFormat="1" ht="15.75">
      <c r="A901" s="325" t="str">
        <f>A675</f>
        <v>Бухгалтер</v>
      </c>
      <c r="B901" s="325"/>
      <c r="C901" s="325"/>
      <c r="D901" s="325"/>
      <c r="E901" s="325"/>
      <c r="F901" s="325"/>
      <c r="G901" s="325"/>
      <c r="H901" s="325"/>
      <c r="I901" s="325"/>
      <c r="J901" s="326"/>
      <c r="K901" s="325"/>
      <c r="L901" s="327"/>
      <c r="M901" s="326"/>
      <c r="N901" s="325" t="str">
        <f>N675</f>
        <v>О.Н.Гаркавая</v>
      </c>
      <c r="R901" s="2575"/>
      <c r="S901" s="2575"/>
      <c r="T901" s="2575"/>
      <c r="U901" s="2575"/>
      <c r="V901" s="2575"/>
      <c r="W901" s="2575"/>
      <c r="X901" s="2575"/>
      <c r="Y901" s="2575"/>
      <c r="Z901" s="2575"/>
      <c r="AA901" s="2575"/>
      <c r="AB901" s="2575"/>
    </row>
    <row r="902" spans="1:28" s="165" customFormat="1" ht="15.75">
      <c r="A902" s="325"/>
      <c r="B902" s="325"/>
      <c r="C902" s="325"/>
      <c r="D902" s="325"/>
      <c r="E902" s="325"/>
      <c r="F902" s="325"/>
      <c r="G902" s="325"/>
      <c r="H902" s="325"/>
      <c r="I902" s="325"/>
      <c r="J902" s="326"/>
      <c r="K902" s="326"/>
      <c r="L902" s="327"/>
      <c r="M902" s="326"/>
      <c r="N902" s="326"/>
      <c r="R902" s="2575"/>
      <c r="S902" s="2575"/>
      <c r="T902" s="2575"/>
      <c r="U902" s="2575"/>
      <c r="V902" s="2575"/>
      <c r="W902" s="2575"/>
      <c r="X902" s="2575"/>
      <c r="Y902" s="2575"/>
      <c r="Z902" s="2575"/>
      <c r="AA902" s="2575"/>
      <c r="AB902" s="2575"/>
    </row>
    <row r="903" spans="1:28" s="165" customFormat="1" ht="15.75">
      <c r="A903" s="325" t="str">
        <f>A677</f>
        <v>Начальник  ПЭО</v>
      </c>
      <c r="B903" s="325"/>
      <c r="C903" s="325"/>
      <c r="D903" s="325"/>
      <c r="E903" s="325"/>
      <c r="F903" s="325"/>
      <c r="G903" s="325"/>
      <c r="H903" s="325"/>
      <c r="I903" s="325"/>
      <c r="J903" s="326"/>
      <c r="K903" s="325"/>
      <c r="L903" s="325"/>
      <c r="M903" s="325"/>
      <c r="N903" s="325" t="str">
        <f>N677</f>
        <v>В.К.Лысая</v>
      </c>
      <c r="R903" s="2575"/>
      <c r="S903" s="2575"/>
      <c r="T903" s="2575"/>
      <c r="U903" s="2575"/>
      <c r="V903" s="2575"/>
      <c r="W903" s="2575"/>
      <c r="X903" s="2575"/>
      <c r="Y903" s="2575"/>
      <c r="Z903" s="2575"/>
      <c r="AA903" s="2575"/>
      <c r="AB903" s="2575"/>
    </row>
    <row r="904" spans="1:28" s="165" customFormat="1" ht="15.75">
      <c r="A904" s="325"/>
      <c r="B904" s="325"/>
      <c r="C904" s="325"/>
      <c r="D904" s="325"/>
      <c r="E904" s="325"/>
      <c r="F904" s="325"/>
      <c r="G904" s="325"/>
      <c r="H904" s="325"/>
      <c r="I904" s="325"/>
      <c r="J904" s="326"/>
      <c r="K904" s="326"/>
      <c r="L904" s="325"/>
      <c r="M904" s="325"/>
      <c r="N904" s="326"/>
      <c r="R904" s="2575"/>
      <c r="S904" s="2575"/>
      <c r="T904" s="2575"/>
      <c r="U904" s="2575"/>
      <c r="V904" s="2575"/>
      <c r="W904" s="2575"/>
      <c r="X904" s="2575"/>
      <c r="Y904" s="2575"/>
      <c r="Z904" s="2575"/>
      <c r="AA904" s="2575"/>
      <c r="AB904" s="2575"/>
    </row>
    <row r="905" spans="1:28" s="165" customFormat="1" ht="15.75">
      <c r="A905" s="325" t="str">
        <f>A679</f>
        <v>Экономист</v>
      </c>
      <c r="B905" s="325"/>
      <c r="C905" s="325"/>
      <c r="D905" s="325"/>
      <c r="E905" s="325"/>
      <c r="F905" s="325"/>
      <c r="G905" s="325"/>
      <c r="H905" s="325"/>
      <c r="I905" s="325"/>
      <c r="J905" s="326"/>
      <c r="K905" s="325"/>
      <c r="L905" s="325"/>
      <c r="M905" s="325"/>
      <c r="N905" s="325" t="str">
        <f>N679</f>
        <v>Е.О.Андреева</v>
      </c>
      <c r="R905" s="2575"/>
      <c r="S905" s="2575"/>
      <c r="T905" s="2575"/>
      <c r="U905" s="2575"/>
      <c r="V905" s="2575"/>
      <c r="W905" s="2575"/>
      <c r="X905" s="2575"/>
      <c r="Y905" s="2575"/>
      <c r="Z905" s="2575"/>
      <c r="AA905" s="2575"/>
      <c r="AB905" s="2575"/>
    </row>
    <row r="906" spans="1:28" s="165" customFormat="1" ht="15.75">
      <c r="A906" s="325"/>
      <c r="B906" s="325"/>
      <c r="C906" s="325"/>
      <c r="D906" s="325"/>
      <c r="E906" s="325"/>
      <c r="F906" s="325"/>
      <c r="G906" s="325"/>
      <c r="H906" s="325"/>
      <c r="I906" s="325"/>
      <c r="J906" s="326"/>
      <c r="K906" s="325"/>
      <c r="L906" s="325"/>
      <c r="M906" s="325"/>
      <c r="N906" s="326"/>
      <c r="R906" s="2575"/>
      <c r="S906" s="2575"/>
      <c r="T906" s="2575"/>
      <c r="U906" s="2575"/>
      <c r="V906" s="2575"/>
      <c r="W906" s="2575"/>
      <c r="X906" s="2575"/>
      <c r="Y906" s="2575"/>
      <c r="Z906" s="2575"/>
      <c r="AA906" s="2575"/>
      <c r="AB906" s="2575"/>
    </row>
    <row r="907" spans="1:28" s="165" customFormat="1" ht="15.75">
      <c r="A907" s="325"/>
      <c r="B907" s="325"/>
      <c r="C907" s="325"/>
      <c r="D907" s="325"/>
      <c r="E907" s="325"/>
      <c r="F907" s="325"/>
      <c r="G907" s="325"/>
      <c r="H907" s="325"/>
      <c r="I907" s="325"/>
      <c r="J907" s="326"/>
      <c r="K907" s="325"/>
      <c r="L907" s="325"/>
      <c r="M907" s="325"/>
      <c r="N907" s="326"/>
      <c r="R907" s="2575"/>
      <c r="S907" s="2575"/>
      <c r="T907" s="2575"/>
      <c r="U907" s="2575"/>
      <c r="V907" s="2575"/>
      <c r="W907" s="2575"/>
      <c r="X907" s="2575"/>
      <c r="Y907" s="2575"/>
      <c r="Z907" s="2575"/>
      <c r="AA907" s="2575"/>
      <c r="AB907" s="2575"/>
    </row>
    <row r="908" spans="1:28" s="165" customFormat="1" ht="15.75">
      <c r="A908" s="325"/>
      <c r="B908" s="325"/>
      <c r="C908" s="325"/>
      <c r="D908" s="325"/>
      <c r="E908" s="325"/>
      <c r="F908" s="325"/>
      <c r="G908" s="325"/>
      <c r="H908" s="325"/>
      <c r="I908" s="325"/>
      <c r="J908" s="326"/>
      <c r="K908" s="325"/>
      <c r="L908" s="325"/>
      <c r="M908" s="325"/>
      <c r="N908" s="326"/>
      <c r="R908" s="2575"/>
      <c r="S908" s="2575"/>
      <c r="T908" s="2575"/>
      <c r="U908" s="2575"/>
      <c r="V908" s="2575"/>
      <c r="W908" s="2575"/>
      <c r="X908" s="2575"/>
      <c r="Y908" s="2575"/>
      <c r="Z908" s="2575"/>
      <c r="AA908" s="2575"/>
      <c r="AB908" s="2575"/>
    </row>
    <row r="909" spans="1:28" s="165" customFormat="1" ht="15.75">
      <c r="A909" s="325"/>
      <c r="B909" s="325"/>
      <c r="C909" s="325"/>
      <c r="D909" s="325"/>
      <c r="E909" s="325"/>
      <c r="F909" s="325"/>
      <c r="G909" s="325"/>
      <c r="H909" s="325"/>
      <c r="I909" s="325"/>
      <c r="J909" s="326"/>
      <c r="K909" s="325"/>
      <c r="L909" s="325"/>
      <c r="M909" s="325"/>
      <c r="N909" s="326"/>
      <c r="R909" s="2575"/>
      <c r="S909" s="2575"/>
      <c r="T909" s="2575"/>
      <c r="U909" s="2575"/>
      <c r="V909" s="2575"/>
      <c r="W909" s="2575"/>
      <c r="X909" s="2575"/>
      <c r="Y909" s="2575"/>
      <c r="Z909" s="2575"/>
      <c r="AA909" s="2575"/>
      <c r="AB909" s="2575"/>
    </row>
    <row r="910" spans="1:28" s="165" customFormat="1" ht="15.75">
      <c r="A910" s="325"/>
      <c r="B910" s="325"/>
      <c r="C910" s="325"/>
      <c r="D910" s="325"/>
      <c r="E910" s="325"/>
      <c r="F910" s="325"/>
      <c r="G910" s="325"/>
      <c r="H910" s="325"/>
      <c r="I910" s="325"/>
      <c r="J910" s="326"/>
      <c r="K910" s="325"/>
      <c r="L910" s="325"/>
      <c r="M910" s="325"/>
      <c r="N910" s="326"/>
      <c r="R910" s="2575"/>
      <c r="S910" s="2575"/>
      <c r="T910" s="2575"/>
      <c r="U910" s="2575"/>
      <c r="V910" s="2575"/>
      <c r="W910" s="2575"/>
      <c r="X910" s="2575"/>
      <c r="Y910" s="2575"/>
      <c r="Z910" s="2575"/>
      <c r="AA910" s="2575"/>
      <c r="AB910" s="2575"/>
    </row>
    <row r="911" spans="1:28" s="165" customFormat="1" ht="15.75">
      <c r="A911" s="325"/>
      <c r="B911" s="325"/>
      <c r="C911" s="325"/>
      <c r="D911" s="325"/>
      <c r="E911" s="325"/>
      <c r="F911" s="325"/>
      <c r="G911" s="325"/>
      <c r="H911" s="325"/>
      <c r="I911" s="325"/>
      <c r="J911" s="326"/>
      <c r="K911" s="325"/>
      <c r="L911" s="325"/>
      <c r="M911" s="325"/>
      <c r="N911" s="326"/>
      <c r="R911" s="2575"/>
      <c r="S911" s="2575"/>
      <c r="T911" s="2575"/>
      <c r="U911" s="2575"/>
      <c r="V911" s="2575"/>
      <c r="W911" s="2575"/>
      <c r="X911" s="2575"/>
      <c r="Y911" s="2575"/>
      <c r="Z911" s="2575"/>
      <c r="AA911" s="2575"/>
      <c r="AB911" s="2575"/>
    </row>
    <row r="912" spans="1:28" s="165" customFormat="1" ht="15.75">
      <c r="A912" s="325"/>
      <c r="B912" s="325"/>
      <c r="C912" s="325"/>
      <c r="D912" s="325"/>
      <c r="E912" s="325"/>
      <c r="F912" s="325"/>
      <c r="G912" s="325"/>
      <c r="H912" s="325"/>
      <c r="I912" s="325"/>
      <c r="J912" s="326"/>
      <c r="K912" s="325"/>
      <c r="L912" s="325"/>
      <c r="M912" s="325"/>
      <c r="N912" s="326"/>
      <c r="R912" s="2575"/>
      <c r="S912" s="2575"/>
      <c r="T912" s="2575"/>
      <c r="U912" s="2575"/>
      <c r="V912" s="2575"/>
      <c r="W912" s="2575"/>
      <c r="X912" s="2575"/>
      <c r="Y912" s="2575"/>
      <c r="Z912" s="2575"/>
      <c r="AA912" s="2575"/>
      <c r="AB912" s="2575"/>
    </row>
    <row r="913" spans="1:28" s="165" customFormat="1" ht="15.75">
      <c r="A913" s="325"/>
      <c r="B913" s="325"/>
      <c r="C913" s="325"/>
      <c r="D913" s="325"/>
      <c r="E913" s="325"/>
      <c r="F913" s="325"/>
      <c r="G913" s="325"/>
      <c r="H913" s="325"/>
      <c r="I913" s="325"/>
      <c r="J913" s="326"/>
      <c r="K913" s="325"/>
      <c r="L913" s="325"/>
      <c r="M913" s="325"/>
      <c r="N913" s="326"/>
      <c r="R913" s="2575"/>
      <c r="S913" s="2575"/>
      <c r="T913" s="2575"/>
      <c r="U913" s="2575"/>
      <c r="V913" s="2575"/>
      <c r="W913" s="2575"/>
      <c r="X913" s="2575"/>
      <c r="Y913" s="2575"/>
      <c r="Z913" s="2575"/>
      <c r="AA913" s="2575"/>
      <c r="AB913" s="2575"/>
    </row>
    <row r="914" spans="1:28" s="165" customFormat="1" ht="15.75">
      <c r="A914" s="325"/>
      <c r="B914" s="325"/>
      <c r="C914" s="325"/>
      <c r="D914" s="325"/>
      <c r="E914" s="325"/>
      <c r="F914" s="325"/>
      <c r="G914" s="325"/>
      <c r="H914" s="325"/>
      <c r="I914" s="325"/>
      <c r="J914" s="326"/>
      <c r="K914" s="325"/>
      <c r="L914" s="325"/>
      <c r="M914" s="325"/>
      <c r="N914" s="326"/>
      <c r="R914" s="2575"/>
      <c r="S914" s="2575"/>
      <c r="T914" s="2575"/>
      <c r="U914" s="2575"/>
      <c r="V914" s="2575"/>
      <c r="W914" s="2575"/>
      <c r="X914" s="2575"/>
      <c r="Y914" s="2575"/>
      <c r="Z914" s="2575"/>
      <c r="AA914" s="2575"/>
      <c r="AB914" s="2575"/>
    </row>
    <row r="915" spans="1:28" s="165" customFormat="1" ht="15.75">
      <c r="A915" s="325"/>
      <c r="B915" s="325"/>
      <c r="C915" s="325"/>
      <c r="D915" s="325"/>
      <c r="E915" s="325"/>
      <c r="F915" s="325"/>
      <c r="G915" s="325"/>
      <c r="H915" s="325"/>
      <c r="I915" s="325"/>
      <c r="J915" s="326"/>
      <c r="K915" s="325"/>
      <c r="L915" s="325"/>
      <c r="M915" s="325"/>
      <c r="N915" s="326"/>
      <c r="R915" s="2575"/>
      <c r="S915" s="2575"/>
      <c r="T915" s="2575"/>
      <c r="U915" s="2575"/>
      <c r="V915" s="2575"/>
      <c r="W915" s="2575"/>
      <c r="X915" s="2575"/>
      <c r="Y915" s="2575"/>
      <c r="Z915" s="2575"/>
      <c r="AA915" s="2575"/>
      <c r="AB915" s="2575"/>
    </row>
    <row r="916" spans="1:28" s="165" customFormat="1" ht="15.75">
      <c r="A916" s="325"/>
      <c r="B916" s="325"/>
      <c r="C916" s="325"/>
      <c r="D916" s="325"/>
      <c r="E916" s="325"/>
      <c r="F916" s="325"/>
      <c r="G916" s="325"/>
      <c r="H916" s="325"/>
      <c r="I916" s="325"/>
      <c r="J916" s="326"/>
      <c r="K916" s="325"/>
      <c r="L916" s="325"/>
      <c r="M916" s="325"/>
      <c r="N916" s="326"/>
      <c r="R916" s="2575"/>
      <c r="S916" s="2575"/>
      <c r="T916" s="2575"/>
      <c r="U916" s="2575"/>
      <c r="V916" s="2575"/>
      <c r="W916" s="2575"/>
      <c r="X916" s="2575"/>
      <c r="Y916" s="2575"/>
      <c r="Z916" s="2575"/>
      <c r="AA916" s="2575"/>
      <c r="AB916" s="2575"/>
    </row>
    <row r="917" spans="1:28" s="165" customFormat="1" ht="15.75">
      <c r="A917" s="1199"/>
      <c r="B917" s="1199"/>
      <c r="C917" s="1200"/>
      <c r="D917" s="1200"/>
      <c r="E917" s="1201"/>
      <c r="F917" s="1199"/>
      <c r="G917" s="1200"/>
      <c r="H917" s="1200"/>
      <c r="I917" s="1201"/>
      <c r="J917" s="1200"/>
      <c r="K917" s="1201"/>
      <c r="L917" s="409"/>
      <c r="M917" s="1282" t="str">
        <f>L1</f>
        <v>      УТВЕРЖДАЮ</v>
      </c>
      <c r="O917" s="409"/>
      <c r="P917" s="409"/>
      <c r="R917" s="2575"/>
      <c r="S917" s="2575"/>
      <c r="T917" s="2575"/>
      <c r="U917" s="2575"/>
      <c r="V917" s="2575"/>
      <c r="W917" s="2575"/>
      <c r="X917" s="2575"/>
      <c r="Y917" s="2575"/>
      <c r="Z917" s="2575"/>
      <c r="AA917" s="2575"/>
      <c r="AB917" s="2575"/>
    </row>
    <row r="918" spans="1:28" s="165" customFormat="1" ht="15.75">
      <c r="A918" s="1199"/>
      <c r="B918" s="1199"/>
      <c r="C918" s="1200"/>
      <c r="D918" s="1200"/>
      <c r="E918" s="1201"/>
      <c r="F918" s="1199"/>
      <c r="G918" s="1200"/>
      <c r="H918" s="1200"/>
      <c r="I918" s="1201"/>
      <c r="J918" s="1200"/>
      <c r="K918" s="1201"/>
      <c r="L918" s="409"/>
      <c r="M918" s="2030" t="str">
        <f>M845</f>
        <v>Главный врач Слонимской ЦРБ</v>
      </c>
      <c r="N918" s="409"/>
      <c r="O918" s="409"/>
      <c r="P918" s="1667" t="str">
        <f>N2</f>
        <v>Главный врач Слонимской ЦРБ</v>
      </c>
      <c r="R918" s="2575"/>
      <c r="S918" s="2575"/>
      <c r="T918" s="2575"/>
      <c r="U918" s="2575"/>
      <c r="V918" s="2575"/>
      <c r="W918" s="2575"/>
      <c r="X918" s="2575"/>
      <c r="Y918" s="2575"/>
      <c r="Z918" s="2575"/>
      <c r="AA918" s="2575"/>
      <c r="AB918" s="2575"/>
    </row>
    <row r="919" spans="1:28" s="165" customFormat="1" ht="15.75">
      <c r="A919" s="1199"/>
      <c r="B919" s="1199"/>
      <c r="C919" s="1200"/>
      <c r="D919" s="1200"/>
      <c r="E919" s="1201"/>
      <c r="F919" s="1199"/>
      <c r="G919" s="1200"/>
      <c r="H919" s="1200"/>
      <c r="I919" s="1201"/>
      <c r="J919" s="1200"/>
      <c r="K919" s="1201"/>
      <c r="L919" s="409"/>
      <c r="M919" s="2031" t="str">
        <f>M846</f>
        <v>Г.М. Моисеенкова</v>
      </c>
      <c r="N919" s="409"/>
      <c r="O919" s="409"/>
      <c r="P919" s="1667" t="str">
        <f>N3</f>
        <v>Г.М. Моисеенкова</v>
      </c>
      <c r="R919" s="2575"/>
      <c r="S919" s="2575"/>
      <c r="T919" s="2575"/>
      <c r="U919" s="2575"/>
      <c r="V919" s="2575"/>
      <c r="W919" s="2575"/>
      <c r="X919" s="2575"/>
      <c r="Y919" s="2575"/>
      <c r="Z919" s="2575"/>
      <c r="AA919" s="2575"/>
      <c r="AB919" s="2575"/>
    </row>
    <row r="920" spans="1:28" s="165" customFormat="1" ht="15.75">
      <c r="A920" s="1199"/>
      <c r="B920" s="1199"/>
      <c r="C920" s="1200"/>
      <c r="D920" s="1200"/>
      <c r="E920" s="1201"/>
      <c r="F920" s="1199"/>
      <c r="G920" s="1200"/>
      <c r="H920" s="1200"/>
      <c r="I920" s="1201"/>
      <c r="J920" s="1200"/>
      <c r="K920" s="1201"/>
      <c r="L920" s="1667">
        <f>L847</f>
        <v>1</v>
      </c>
      <c r="M920" s="1203" t="str">
        <f>M847</f>
        <v>июля</v>
      </c>
      <c r="N920" s="2029" t="str">
        <f>N847</f>
        <v>2017 г.</v>
      </c>
      <c r="O920" s="1282" t="str">
        <f>M4</f>
        <v>июля</v>
      </c>
      <c r="P920" s="1282" t="str">
        <f>N4</f>
        <v>2017 г.</v>
      </c>
      <c r="R920" s="2575"/>
      <c r="S920" s="2575"/>
      <c r="T920" s="2575"/>
      <c r="U920" s="2575"/>
      <c r="V920" s="2575"/>
      <c r="W920" s="2575"/>
      <c r="X920" s="2575"/>
      <c r="Y920" s="2575"/>
      <c r="Z920" s="2575"/>
      <c r="AA920" s="2575"/>
      <c r="AB920" s="2575"/>
    </row>
    <row r="921" spans="1:28" s="165" customFormat="1" ht="15.75">
      <c r="A921" s="1199"/>
      <c r="B921" s="1199"/>
      <c r="C921" s="1200"/>
      <c r="D921" s="1200"/>
      <c r="E921" s="1201"/>
      <c r="F921" s="1199"/>
      <c r="G921" s="1200"/>
      <c r="H921" s="1201"/>
      <c r="I921" s="1203"/>
      <c r="J921" s="1203"/>
      <c r="K921" s="1202"/>
      <c r="L921" s="1204"/>
      <c r="M921" s="331"/>
      <c r="N921" s="331"/>
      <c r="R921" s="2575"/>
      <c r="S921" s="2575"/>
      <c r="T921" s="2575"/>
      <c r="U921" s="2575"/>
      <c r="V921" s="2575"/>
      <c r="W921" s="2575"/>
      <c r="X921" s="2575"/>
      <c r="Y921" s="2575"/>
      <c r="Z921" s="2575"/>
      <c r="AA921" s="2575"/>
      <c r="AB921" s="2575"/>
    </row>
    <row r="922" spans="1:28" s="165" customFormat="1" ht="15.75">
      <c r="A922" s="1205"/>
      <c r="B922" s="1205"/>
      <c r="C922" s="1206"/>
      <c r="D922" s="1206"/>
      <c r="E922" s="1207"/>
      <c r="F922" s="1205"/>
      <c r="G922" s="1206"/>
      <c r="H922" s="1207"/>
      <c r="I922" s="1208"/>
      <c r="J922" s="1208"/>
      <c r="K922" s="1209"/>
      <c r="L922" s="1208"/>
      <c r="M922" s="417"/>
      <c r="N922" s="479"/>
      <c r="R922" s="2575"/>
      <c r="S922" s="2575"/>
      <c r="T922" s="2575"/>
      <c r="U922" s="2575"/>
      <c r="V922" s="2575"/>
      <c r="W922" s="2575"/>
      <c r="X922" s="2575"/>
      <c r="Y922" s="2575"/>
      <c r="Z922" s="2575"/>
      <c r="AA922" s="2575"/>
      <c r="AB922" s="2575"/>
    </row>
    <row r="923" spans="1:28" s="165" customFormat="1" ht="15.75">
      <c r="A923" s="1205"/>
      <c r="B923" s="1205"/>
      <c r="C923" s="1206"/>
      <c r="D923" s="1206"/>
      <c r="E923" s="1207"/>
      <c r="F923" s="1205"/>
      <c r="G923" s="1206"/>
      <c r="H923" s="1207"/>
      <c r="I923" s="1208"/>
      <c r="J923" s="1208"/>
      <c r="K923" s="1209"/>
      <c r="L923" s="1208"/>
      <c r="M923" s="417"/>
      <c r="N923" s="479"/>
      <c r="R923" s="2575"/>
      <c r="S923" s="2575"/>
      <c r="T923" s="2575"/>
      <c r="U923" s="2575"/>
      <c r="V923" s="2575"/>
      <c r="W923" s="2575"/>
      <c r="X923" s="2575"/>
      <c r="Y923" s="2575"/>
      <c r="Z923" s="2575"/>
      <c r="AA923" s="2575"/>
      <c r="AB923" s="2575"/>
    </row>
    <row r="924" spans="1:28" s="165" customFormat="1" ht="19.5">
      <c r="A924" s="2391" t="s">
        <v>439</v>
      </c>
      <c r="B924" s="2391"/>
      <c r="C924" s="2391"/>
      <c r="D924" s="2391"/>
      <c r="E924" s="2391"/>
      <c r="F924" s="2391"/>
      <c r="G924" s="2391"/>
      <c r="H924" s="2391"/>
      <c r="I924" s="2391"/>
      <c r="J924" s="2391"/>
      <c r="K924" s="2391"/>
      <c r="L924" s="2391"/>
      <c r="M924" s="2391"/>
      <c r="N924" s="2391"/>
      <c r="O924" s="2391"/>
      <c r="P924" s="2391"/>
      <c r="R924" s="2575"/>
      <c r="S924" s="2575"/>
      <c r="T924" s="2575"/>
      <c r="U924" s="2575"/>
      <c r="V924" s="2575"/>
      <c r="W924" s="2575"/>
      <c r="X924" s="2575"/>
      <c r="Y924" s="2575"/>
      <c r="Z924" s="2575"/>
      <c r="AA924" s="2575"/>
      <c r="AB924" s="2575"/>
    </row>
    <row r="925" spans="1:28" s="165" customFormat="1" ht="19.5">
      <c r="A925" s="2391" t="s">
        <v>159</v>
      </c>
      <c r="B925" s="2391"/>
      <c r="C925" s="2391"/>
      <c r="D925" s="2391"/>
      <c r="E925" s="2391"/>
      <c r="F925" s="2391"/>
      <c r="G925" s="2391"/>
      <c r="H925" s="2391"/>
      <c r="I925" s="2391"/>
      <c r="J925" s="2391"/>
      <c r="K925" s="2391"/>
      <c r="L925" s="2391"/>
      <c r="M925" s="2391"/>
      <c r="N925" s="2391"/>
      <c r="O925" s="2391"/>
      <c r="P925" s="2391"/>
      <c r="R925" s="2575"/>
      <c r="S925" s="2575"/>
      <c r="T925" s="2575"/>
      <c r="U925" s="2575"/>
      <c r="V925" s="2575"/>
      <c r="W925" s="2575"/>
      <c r="X925" s="2575"/>
      <c r="Y925" s="2575"/>
      <c r="Z925" s="2575"/>
      <c r="AA925" s="2575"/>
      <c r="AB925" s="2575"/>
    </row>
    <row r="926" spans="1:28" s="165" customFormat="1" ht="18.75">
      <c r="A926" s="1210"/>
      <c r="B926" s="1210"/>
      <c r="C926" s="1210"/>
      <c r="D926" s="1210"/>
      <c r="E926" s="1210"/>
      <c r="F926" s="1210"/>
      <c r="G926" s="1210"/>
      <c r="H926" s="1210"/>
      <c r="I926" s="1210"/>
      <c r="J926" s="1210"/>
      <c r="K926" s="1210"/>
      <c r="L926" s="1199"/>
      <c r="M926" s="417"/>
      <c r="N926" s="479"/>
      <c r="R926" s="2575"/>
      <c r="S926" s="2575"/>
      <c r="T926" s="2575"/>
      <c r="U926" s="2575"/>
      <c r="V926" s="2575"/>
      <c r="W926" s="2575"/>
      <c r="X926" s="2575"/>
      <c r="Y926" s="2575"/>
      <c r="Z926" s="2575"/>
      <c r="AA926" s="2575"/>
      <c r="AB926" s="2575"/>
    </row>
    <row r="927" spans="1:28" s="165" customFormat="1" ht="18.75">
      <c r="A927" s="1210"/>
      <c r="B927" s="1210"/>
      <c r="C927" s="1210"/>
      <c r="D927" s="1210"/>
      <c r="E927" s="1210"/>
      <c r="F927" s="1210"/>
      <c r="G927" s="1210"/>
      <c r="H927" s="1210"/>
      <c r="I927" s="1210"/>
      <c r="J927" s="1210"/>
      <c r="K927" s="1210"/>
      <c r="L927" s="1199"/>
      <c r="M927" s="417"/>
      <c r="N927" s="479"/>
      <c r="R927" s="2575"/>
      <c r="S927" s="2575"/>
      <c r="T927" s="2575"/>
      <c r="U927" s="2575"/>
      <c r="V927" s="2575"/>
      <c r="W927" s="2575"/>
      <c r="X927" s="2575"/>
      <c r="Y927" s="2575"/>
      <c r="Z927" s="2575"/>
      <c r="AA927" s="2575"/>
      <c r="AB927" s="2575"/>
    </row>
    <row r="928" spans="1:28" s="165" customFormat="1" ht="15.75">
      <c r="A928" s="1199" t="s">
        <v>160</v>
      </c>
      <c r="B928" s="331"/>
      <c r="C928" s="1211"/>
      <c r="D928" s="1281" t="str">
        <f>C853</f>
        <v>01.07.2017г.</v>
      </c>
      <c r="E928" s="1212"/>
      <c r="F928" s="1213"/>
      <c r="G928" s="331"/>
      <c r="H928" s="331"/>
      <c r="I928" s="331"/>
      <c r="J928" s="331"/>
      <c r="K928" s="331"/>
      <c r="L928" s="331"/>
      <c r="M928" s="417"/>
      <c r="N928" s="479"/>
      <c r="R928" s="2575"/>
      <c r="S928" s="2575"/>
      <c r="T928" s="2575"/>
      <c r="U928" s="2575"/>
      <c r="V928" s="2575"/>
      <c r="W928" s="2575"/>
      <c r="X928" s="2575"/>
      <c r="Y928" s="2575"/>
      <c r="Z928" s="2575"/>
      <c r="AA928" s="2575"/>
      <c r="AB928" s="2575"/>
    </row>
    <row r="929" spans="1:28" s="165" customFormat="1" ht="15.75">
      <c r="A929" s="331"/>
      <c r="B929" s="331"/>
      <c r="C929" s="1214"/>
      <c r="D929" s="1212"/>
      <c r="E929" s="1212"/>
      <c r="F929" s="1213"/>
      <c r="G929" s="331"/>
      <c r="H929" s="331"/>
      <c r="I929" s="331"/>
      <c r="J929" s="331"/>
      <c r="K929" s="331"/>
      <c r="L929" s="331"/>
      <c r="M929" s="417"/>
      <c r="N929" s="479"/>
      <c r="R929" s="2575"/>
      <c r="S929" s="2575"/>
      <c r="T929" s="2575"/>
      <c r="U929" s="2575"/>
      <c r="V929" s="2575"/>
      <c r="W929" s="2575"/>
      <c r="X929" s="2575"/>
      <c r="Y929" s="2575"/>
      <c r="Z929" s="2575"/>
      <c r="AA929" s="2575"/>
      <c r="AB929" s="2575"/>
    </row>
    <row r="930" spans="1:28" s="165" customFormat="1" ht="15.75" customHeight="1">
      <c r="A930" s="2268" t="s">
        <v>259</v>
      </c>
      <c r="B930" s="180"/>
      <c r="C930" s="180"/>
      <c r="D930" s="180"/>
      <c r="E930" s="181"/>
      <c r="F930" s="180"/>
      <c r="G930" s="180"/>
      <c r="H930" s="182"/>
      <c r="I930" s="183"/>
      <c r="J930" s="2253" t="s">
        <v>447</v>
      </c>
      <c r="K930" s="2254"/>
      <c r="L930" s="185" t="s">
        <v>923</v>
      </c>
      <c r="M930" s="2303" t="s">
        <v>443</v>
      </c>
      <c r="N930" s="2304"/>
      <c r="O930" s="2304"/>
      <c r="P930" s="2305"/>
      <c r="R930" s="2575"/>
      <c r="S930" s="2575"/>
      <c r="T930" s="2575"/>
      <c r="U930" s="2575"/>
      <c r="V930" s="2575"/>
      <c r="W930" s="2575"/>
      <c r="X930" s="2575"/>
      <c r="Y930" s="2575"/>
      <c r="Z930" s="2575"/>
      <c r="AA930" s="2575"/>
      <c r="AB930" s="2575"/>
    </row>
    <row r="931" spans="1:28" s="165" customFormat="1" ht="15.75" customHeight="1">
      <c r="A931" s="2269"/>
      <c r="B931" s="174"/>
      <c r="C931" s="174"/>
      <c r="D931" s="174"/>
      <c r="E931" s="174"/>
      <c r="F931" s="174"/>
      <c r="G931" s="174"/>
      <c r="H931" s="188"/>
      <c r="I931" s="189"/>
      <c r="J931" s="2242"/>
      <c r="K931" s="2243"/>
      <c r="L931" s="191" t="s">
        <v>924</v>
      </c>
      <c r="M931" s="2306" t="s">
        <v>233</v>
      </c>
      <c r="N931" s="2307"/>
      <c r="O931" s="2307"/>
      <c r="P931" s="2308"/>
      <c r="R931" s="2575"/>
      <c r="S931" s="2575"/>
      <c r="T931" s="2575"/>
      <c r="U931" s="2575"/>
      <c r="V931" s="2575"/>
      <c r="W931" s="2575"/>
      <c r="X931" s="2575"/>
      <c r="Y931" s="2575"/>
      <c r="Z931" s="2575"/>
      <c r="AA931" s="2575"/>
      <c r="AB931" s="2575"/>
    </row>
    <row r="932" spans="1:28" s="165" customFormat="1" ht="16.5" customHeight="1">
      <c r="A932" s="2269"/>
      <c r="B932" s="174"/>
      <c r="C932" s="174"/>
      <c r="D932" s="174"/>
      <c r="E932" s="148" t="s">
        <v>445</v>
      </c>
      <c r="F932" s="174"/>
      <c r="G932" s="174"/>
      <c r="H932" s="188"/>
      <c r="I932" s="189" t="s">
        <v>844</v>
      </c>
      <c r="J932" s="184" t="s">
        <v>926</v>
      </c>
      <c r="K932" s="179" t="s">
        <v>927</v>
      </c>
      <c r="L932" s="191" t="s">
        <v>448</v>
      </c>
      <c r="M932" s="2392"/>
      <c r="N932" s="2350"/>
      <c r="O932" s="2349" t="s">
        <v>510</v>
      </c>
      <c r="P932" s="2350"/>
      <c r="R932" s="2575"/>
      <c r="S932" s="2575"/>
      <c r="T932" s="2575"/>
      <c r="U932" s="2575"/>
      <c r="V932" s="2575"/>
      <c r="W932" s="2575"/>
      <c r="X932" s="2575"/>
      <c r="Y932" s="2575"/>
      <c r="Z932" s="2575"/>
      <c r="AA932" s="2575"/>
      <c r="AB932" s="2575"/>
    </row>
    <row r="933" spans="1:28" s="165" customFormat="1" ht="15.75" customHeight="1">
      <c r="A933" s="2269"/>
      <c r="B933" s="148"/>
      <c r="C933" s="148"/>
      <c r="D933" s="148"/>
      <c r="E933" s="148"/>
      <c r="F933" s="174"/>
      <c r="G933" s="174"/>
      <c r="H933" s="189"/>
      <c r="I933" s="189" t="s">
        <v>928</v>
      </c>
      <c r="J933" s="194" t="s">
        <v>929</v>
      </c>
      <c r="K933" s="187" t="s">
        <v>930</v>
      </c>
      <c r="L933" s="191" t="s">
        <v>452</v>
      </c>
      <c r="M933" s="1564" t="s">
        <v>926</v>
      </c>
      <c r="N933" s="1561" t="s">
        <v>927</v>
      </c>
      <c r="O933" s="1560" t="s">
        <v>926</v>
      </c>
      <c r="P933" s="1564" t="s">
        <v>927</v>
      </c>
      <c r="R933" s="2575"/>
      <c r="S933" s="2575"/>
      <c r="T933" s="2575"/>
      <c r="U933" s="2575"/>
      <c r="V933" s="2575"/>
      <c r="W933" s="2575"/>
      <c r="X933" s="2575"/>
      <c r="Y933" s="2575"/>
      <c r="Z933" s="2575"/>
      <c r="AA933" s="2575"/>
      <c r="AB933" s="2575"/>
    </row>
    <row r="934" spans="1:28" s="165" customFormat="1" ht="15.75" customHeight="1">
      <c r="A934" s="2269"/>
      <c r="B934" s="174"/>
      <c r="C934" s="174"/>
      <c r="D934" s="174"/>
      <c r="E934" s="174"/>
      <c r="F934" s="174"/>
      <c r="G934" s="148"/>
      <c r="H934" s="189"/>
      <c r="I934" s="189" t="s">
        <v>931</v>
      </c>
      <c r="J934" s="194"/>
      <c r="K934" s="187" t="s">
        <v>932</v>
      </c>
      <c r="L934" s="199"/>
      <c r="M934" s="1565" t="s">
        <v>929</v>
      </c>
      <c r="N934" s="169" t="s">
        <v>930</v>
      </c>
      <c r="O934" s="1566" t="s">
        <v>929</v>
      </c>
      <c r="P934" s="1565" t="s">
        <v>930</v>
      </c>
      <c r="R934" s="2575"/>
      <c r="S934" s="2575"/>
      <c r="T934" s="2575"/>
      <c r="U934" s="2575"/>
      <c r="V934" s="2575"/>
      <c r="W934" s="2575"/>
      <c r="X934" s="2575"/>
      <c r="Y934" s="2575"/>
      <c r="Z934" s="2575"/>
      <c r="AA934" s="2575"/>
      <c r="AB934" s="2575"/>
    </row>
    <row r="935" spans="1:28" s="165" customFormat="1" ht="15.75" customHeight="1">
      <c r="A935" s="2269"/>
      <c r="B935" s="174"/>
      <c r="C935" s="174"/>
      <c r="D935" s="174"/>
      <c r="E935" s="174"/>
      <c r="F935" s="174"/>
      <c r="G935" s="148"/>
      <c r="H935" s="189"/>
      <c r="I935" s="189"/>
      <c r="J935" s="194"/>
      <c r="K935" s="187"/>
      <c r="L935" s="199"/>
      <c r="M935" s="1565"/>
      <c r="N935" s="169" t="s">
        <v>932</v>
      </c>
      <c r="O935" s="1566"/>
      <c r="P935" s="1565" t="s">
        <v>932</v>
      </c>
      <c r="R935" s="2575"/>
      <c r="S935" s="2575"/>
      <c r="T935" s="2575"/>
      <c r="U935" s="2575"/>
      <c r="V935" s="2575"/>
      <c r="W935" s="2575"/>
      <c r="X935" s="2575"/>
      <c r="Y935" s="2575"/>
      <c r="Z935" s="2575"/>
      <c r="AA935" s="2575"/>
      <c r="AB935" s="2575"/>
    </row>
    <row r="936" spans="1:28" s="165" customFormat="1" ht="15.75">
      <c r="A936" s="2270"/>
      <c r="B936" s="202"/>
      <c r="C936" s="202"/>
      <c r="D936" s="202"/>
      <c r="E936" s="202"/>
      <c r="F936" s="202"/>
      <c r="G936" s="202"/>
      <c r="H936" s="203"/>
      <c r="I936" s="125"/>
      <c r="J936" s="190" t="s">
        <v>933</v>
      </c>
      <c r="K936" s="124" t="s">
        <v>457</v>
      </c>
      <c r="L936" s="204" t="s">
        <v>457</v>
      </c>
      <c r="M936" s="1567" t="s">
        <v>457</v>
      </c>
      <c r="N936" s="1563" t="s">
        <v>457</v>
      </c>
      <c r="O936" s="1562" t="s">
        <v>457</v>
      </c>
      <c r="P936" s="1567" t="s">
        <v>457</v>
      </c>
      <c r="R936" s="2575"/>
      <c r="S936" s="2575"/>
      <c r="T936" s="2575"/>
      <c r="U936" s="2575"/>
      <c r="V936" s="2575"/>
      <c r="W936" s="2575"/>
      <c r="X936" s="2575"/>
      <c r="Y936" s="2575"/>
      <c r="Z936" s="2575"/>
      <c r="AA936" s="2575"/>
      <c r="AB936" s="2575"/>
    </row>
    <row r="937" spans="1:28" s="165" customFormat="1" ht="15.75">
      <c r="A937" s="343"/>
      <c r="B937" s="329"/>
      <c r="C937" s="1211"/>
      <c r="D937" s="1211"/>
      <c r="E937" s="1218"/>
      <c r="F937" s="1211"/>
      <c r="G937" s="1218"/>
      <c r="H937" s="1219"/>
      <c r="I937" s="1215"/>
      <c r="J937" s="330"/>
      <c r="K937" s="1217"/>
      <c r="L937" s="1216"/>
      <c r="M937" s="370"/>
      <c r="N937" s="1217"/>
      <c r="O937" s="1649"/>
      <c r="P937" s="314"/>
      <c r="R937" s="2575"/>
      <c r="S937" s="2575"/>
      <c r="T937" s="2575"/>
      <c r="U937" s="2575"/>
      <c r="V937" s="2575"/>
      <c r="W937" s="2575"/>
      <c r="X937" s="2575"/>
      <c r="Y937" s="2575"/>
      <c r="Z937" s="2575"/>
      <c r="AA937" s="2575"/>
      <c r="AB937" s="2575"/>
    </row>
    <row r="938" spans="1:28" s="165" customFormat="1" ht="34.5" customHeight="1">
      <c r="A938" s="1220">
        <v>1</v>
      </c>
      <c r="B938" s="2381" t="s">
        <v>162</v>
      </c>
      <c r="C938" s="2382"/>
      <c r="D938" s="2382"/>
      <c r="E938" s="2382"/>
      <c r="F938" s="2382"/>
      <c r="G938" s="2382"/>
      <c r="H938" s="2383"/>
      <c r="I938" s="1215"/>
      <c r="J938" s="2020"/>
      <c r="K938" s="2021"/>
      <c r="L938" s="2021"/>
      <c r="M938" s="2022"/>
      <c r="N938" s="2022"/>
      <c r="O938" s="1649"/>
      <c r="P938" s="314"/>
      <c r="R938" s="2575"/>
      <c r="S938" s="2575"/>
      <c r="T938" s="2575"/>
      <c r="U938" s="2575"/>
      <c r="V938" s="2575"/>
      <c r="W938" s="2575"/>
      <c r="X938" s="2575"/>
      <c r="Y938" s="2575"/>
      <c r="Z938" s="2575"/>
      <c r="AA938" s="2575"/>
      <c r="AB938" s="2575"/>
    </row>
    <row r="939" spans="1:28" s="165" customFormat="1" ht="20.25" customHeight="1">
      <c r="A939" s="1221"/>
      <c r="B939" s="2381" t="s">
        <v>163</v>
      </c>
      <c r="C939" s="2382"/>
      <c r="D939" s="2382"/>
      <c r="E939" s="2382"/>
      <c r="F939" s="2382"/>
      <c r="G939" s="2382"/>
      <c r="H939" s="2383"/>
      <c r="I939" s="1215"/>
      <c r="J939" s="2020"/>
      <c r="K939" s="2021"/>
      <c r="L939" s="2021"/>
      <c r="M939" s="2022"/>
      <c r="N939" s="2022"/>
      <c r="O939" s="1649"/>
      <c r="P939" s="314"/>
      <c r="R939" s="2575"/>
      <c r="S939" s="2575"/>
      <c r="T939" s="2575"/>
      <c r="U939" s="2575"/>
      <c r="V939" s="2575"/>
      <c r="W939" s="2575"/>
      <c r="X939" s="2575"/>
      <c r="Y939" s="2575"/>
      <c r="Z939" s="2575"/>
      <c r="AA939" s="2575"/>
      <c r="AB939" s="2575"/>
    </row>
    <row r="940" spans="1:28" s="165" customFormat="1" ht="36.75" customHeight="1">
      <c r="A940" s="1220"/>
      <c r="B940" s="2381" t="s">
        <v>454</v>
      </c>
      <c r="C940" s="2382"/>
      <c r="D940" s="2382"/>
      <c r="E940" s="2382"/>
      <c r="F940" s="2382"/>
      <c r="G940" s="2382"/>
      <c r="H940" s="2383"/>
      <c r="I940" s="1222" t="s">
        <v>164</v>
      </c>
      <c r="J940" s="2023">
        <v>0</v>
      </c>
      <c r="K940" s="2024">
        <f>I1000</f>
        <v>2.39</v>
      </c>
      <c r="L940" s="2024">
        <f>J1000</f>
        <v>3.58</v>
      </c>
      <c r="M940" s="2025"/>
      <c r="N940" s="2025">
        <f>K940+L940</f>
        <v>5.970000000000001</v>
      </c>
      <c r="O940" s="1886"/>
      <c r="P940" s="1887">
        <f>N940/10000</f>
        <v>0.0005970000000000001</v>
      </c>
      <c r="R940" s="2575"/>
      <c r="S940" s="2575"/>
      <c r="T940" s="2575"/>
      <c r="U940" s="2575"/>
      <c r="V940" s="2575"/>
      <c r="W940" s="2575"/>
      <c r="X940" s="2575"/>
      <c r="Y940" s="2575"/>
      <c r="Z940" s="2575"/>
      <c r="AA940" s="2575"/>
      <c r="AB940" s="2575"/>
    </row>
    <row r="941" spans="1:28" s="165" customFormat="1" ht="18.75">
      <c r="A941" s="1221"/>
      <c r="B941" s="1878"/>
      <c r="C941" s="1878"/>
      <c r="D941" s="1879"/>
      <c r="E941" s="1880"/>
      <c r="F941" s="1879"/>
      <c r="G941" s="1880"/>
      <c r="H941" s="1881"/>
      <c r="I941" s="1223"/>
      <c r="J941" s="2026"/>
      <c r="K941" s="2027"/>
      <c r="L941" s="2027"/>
      <c r="M941" s="2028"/>
      <c r="N941" s="2028"/>
      <c r="O941" s="1886"/>
      <c r="P941" s="1888"/>
      <c r="R941" s="2575"/>
      <c r="S941" s="2575"/>
      <c r="T941" s="2575"/>
      <c r="U941" s="2575"/>
      <c r="V941" s="2575"/>
      <c r="W941" s="2575"/>
      <c r="X941" s="2575"/>
      <c r="Y941" s="2575"/>
      <c r="Z941" s="2575"/>
      <c r="AA941" s="2575"/>
      <c r="AB941" s="2575"/>
    </row>
    <row r="942" spans="1:28" s="165" customFormat="1" ht="32.25" customHeight="1">
      <c r="A942" s="1220">
        <v>2</v>
      </c>
      <c r="B942" s="2381" t="s">
        <v>165</v>
      </c>
      <c r="C942" s="2382"/>
      <c r="D942" s="2382"/>
      <c r="E942" s="2382"/>
      <c r="F942" s="2382"/>
      <c r="G942" s="2382"/>
      <c r="H942" s="2383"/>
      <c r="I942" s="1223"/>
      <c r="J942" s="2026"/>
      <c r="K942" s="2027"/>
      <c r="L942" s="2027"/>
      <c r="M942" s="2028"/>
      <c r="N942" s="2028"/>
      <c r="O942" s="1886"/>
      <c r="P942" s="1888"/>
      <c r="R942" s="2575"/>
      <c r="S942" s="2575"/>
      <c r="T942" s="2575"/>
      <c r="U942" s="2575"/>
      <c r="V942" s="2575"/>
      <c r="W942" s="2575"/>
      <c r="X942" s="2575"/>
      <c r="Y942" s="2575"/>
      <c r="Z942" s="2575"/>
      <c r="AA942" s="2575"/>
      <c r="AB942" s="2575"/>
    </row>
    <row r="943" spans="1:28" s="165" customFormat="1" ht="19.5" customHeight="1">
      <c r="A943" s="1221"/>
      <c r="B943" s="2381" t="s">
        <v>455</v>
      </c>
      <c r="C943" s="2382"/>
      <c r="D943" s="2382"/>
      <c r="E943" s="2382"/>
      <c r="F943" s="2382"/>
      <c r="G943" s="2382"/>
      <c r="H943" s="2383"/>
      <c r="I943" s="1222" t="s">
        <v>164</v>
      </c>
      <c r="J943" s="2023">
        <v>0</v>
      </c>
      <c r="K943" s="2024">
        <f>I1012</f>
        <v>1.54</v>
      </c>
      <c r="L943" s="2024">
        <f>J1012</f>
        <v>2.4408999999999996</v>
      </c>
      <c r="M943" s="2025"/>
      <c r="N943" s="2025">
        <f>K943+L943</f>
        <v>3.9808999999999997</v>
      </c>
      <c r="O943" s="1886"/>
      <c r="P943" s="1887">
        <f>N943/10000</f>
        <v>0.00039809</v>
      </c>
      <c r="R943" s="2575"/>
      <c r="S943" s="2575"/>
      <c r="T943" s="2575"/>
      <c r="U943" s="2575"/>
      <c r="V943" s="2575"/>
      <c r="W943" s="2575"/>
      <c r="X943" s="2575"/>
      <c r="Y943" s="2575"/>
      <c r="Z943" s="2575"/>
      <c r="AA943" s="2575"/>
      <c r="AB943" s="2575"/>
    </row>
    <row r="944" spans="1:28" s="165" customFormat="1" ht="18.75">
      <c r="A944" s="1221"/>
      <c r="B944" s="1878"/>
      <c r="C944" s="1878"/>
      <c r="D944" s="1879"/>
      <c r="E944" s="1880"/>
      <c r="F944" s="1879"/>
      <c r="G944" s="1880"/>
      <c r="H944" s="1881"/>
      <c r="I944" s="1223"/>
      <c r="J944" s="2026"/>
      <c r="K944" s="2027"/>
      <c r="L944" s="2027"/>
      <c r="M944" s="2028"/>
      <c r="N944" s="2028"/>
      <c r="O944" s="1886"/>
      <c r="P944" s="1888"/>
      <c r="R944" s="2575"/>
      <c r="S944" s="2575"/>
      <c r="T944" s="2575"/>
      <c r="U944" s="2575"/>
      <c r="V944" s="2575"/>
      <c r="W944" s="2575"/>
      <c r="X944" s="2575"/>
      <c r="Y944" s="2575"/>
      <c r="Z944" s="2575"/>
      <c r="AA944" s="2575"/>
      <c r="AB944" s="2575"/>
    </row>
    <row r="945" spans="1:28" s="165" customFormat="1" ht="16.5" customHeight="1">
      <c r="A945" s="1220">
        <v>3</v>
      </c>
      <c r="B945" s="2388" t="s">
        <v>166</v>
      </c>
      <c r="C945" s="2389"/>
      <c r="D945" s="2389"/>
      <c r="E945" s="2389"/>
      <c r="F945" s="2389"/>
      <c r="G945" s="2389"/>
      <c r="H945" s="2390"/>
      <c r="I945" s="1223"/>
      <c r="J945" s="2026"/>
      <c r="K945" s="2027"/>
      <c r="L945" s="2027"/>
      <c r="M945" s="2028"/>
      <c r="N945" s="2028"/>
      <c r="O945" s="1886"/>
      <c r="P945" s="1888"/>
      <c r="R945" s="2575"/>
      <c r="S945" s="2575"/>
      <c r="T945" s="2575"/>
      <c r="U945" s="2575"/>
      <c r="V945" s="2575"/>
      <c r="W945" s="2575"/>
      <c r="X945" s="2575"/>
      <c r="Y945" s="2575"/>
      <c r="Z945" s="2575"/>
      <c r="AA945" s="2575"/>
      <c r="AB945" s="2575"/>
    </row>
    <row r="946" spans="1:28" s="165" customFormat="1" ht="24" customHeight="1">
      <c r="A946" s="1221"/>
      <c r="B946" s="2381" t="s">
        <v>456</v>
      </c>
      <c r="C946" s="2382"/>
      <c r="D946" s="2382"/>
      <c r="E946" s="2382"/>
      <c r="F946" s="2382"/>
      <c r="G946" s="2382"/>
      <c r="H946" s="2383"/>
      <c r="I946" s="1222" t="s">
        <v>164</v>
      </c>
      <c r="J946" s="2023">
        <f>T1005</f>
        <v>0</v>
      </c>
      <c r="K946" s="2024">
        <f>I1024</f>
        <v>1.6400000000000001</v>
      </c>
      <c r="L946" s="2024">
        <f>J1024</f>
        <v>2.502</v>
      </c>
      <c r="M946" s="2025"/>
      <c r="N946" s="2025">
        <f>K946+L946</f>
        <v>4.1419999999999995</v>
      </c>
      <c r="O946" s="1886"/>
      <c r="P946" s="1887">
        <f>N946/10000</f>
        <v>0.00041419999999999993</v>
      </c>
      <c r="R946" s="2575"/>
      <c r="S946" s="2575"/>
      <c r="T946" s="2575"/>
      <c r="U946" s="2575"/>
      <c r="V946" s="2575"/>
      <c r="W946" s="2575"/>
      <c r="X946" s="2575"/>
      <c r="Y946" s="2575"/>
      <c r="Z946" s="2575"/>
      <c r="AA946" s="2575"/>
      <c r="AB946" s="2575"/>
    </row>
    <row r="947" spans="1:28" s="165" customFormat="1" ht="18.75">
      <c r="A947" s="1221"/>
      <c r="B947" s="1882"/>
      <c r="C947" s="1882"/>
      <c r="D947" s="1883"/>
      <c r="E947" s="1884"/>
      <c r="F947" s="1883"/>
      <c r="G947" s="1884"/>
      <c r="H947" s="1885"/>
      <c r="I947" s="1223"/>
      <c r="J947" s="2026"/>
      <c r="K947" s="2027"/>
      <c r="L947" s="2027"/>
      <c r="M947" s="2028"/>
      <c r="N947" s="2028"/>
      <c r="O947" s="1886"/>
      <c r="P947" s="1888"/>
      <c r="R947" s="2575"/>
      <c r="S947" s="2575"/>
      <c r="T947" s="2575"/>
      <c r="U947" s="2575"/>
      <c r="V947" s="2575"/>
      <c r="W947" s="2575"/>
      <c r="X947" s="2575"/>
      <c r="Y947" s="2575"/>
      <c r="Z947" s="2575"/>
      <c r="AA947" s="2575"/>
      <c r="AB947" s="2575"/>
    </row>
    <row r="948" spans="1:28" s="165" customFormat="1" ht="18.75">
      <c r="A948" s="1221"/>
      <c r="B948" s="1224"/>
      <c r="C948" s="1225"/>
      <c r="D948" s="1226"/>
      <c r="E948" s="1227"/>
      <c r="F948" s="1226"/>
      <c r="G948" s="1227"/>
      <c r="H948" s="1228"/>
      <c r="I948" s="1223"/>
      <c r="J948" s="2026"/>
      <c r="K948" s="2027"/>
      <c r="L948" s="2027"/>
      <c r="M948" s="2028"/>
      <c r="N948" s="2028"/>
      <c r="O948" s="1886"/>
      <c r="P948" s="1888"/>
      <c r="R948" s="2575"/>
      <c r="S948" s="2575"/>
      <c r="T948" s="2575"/>
      <c r="U948" s="2575"/>
      <c r="V948" s="2575"/>
      <c r="W948" s="2575"/>
      <c r="X948" s="2575"/>
      <c r="Y948" s="2575"/>
      <c r="Z948" s="2575"/>
      <c r="AA948" s="2575"/>
      <c r="AB948" s="2575"/>
    </row>
    <row r="949" spans="1:28" s="165" customFormat="1" ht="24">
      <c r="A949" s="1220">
        <v>4</v>
      </c>
      <c r="B949" s="1229" t="s">
        <v>167</v>
      </c>
      <c r="C949" s="1230"/>
      <c r="D949" s="1226"/>
      <c r="E949" s="1227"/>
      <c r="F949" s="1226"/>
      <c r="G949" s="1227"/>
      <c r="H949" s="1228"/>
      <c r="I949" s="1222" t="s">
        <v>164</v>
      </c>
      <c r="J949" s="2023">
        <f>H1034</f>
        <v>2.88</v>
      </c>
      <c r="K949" s="2023">
        <f>I1034</f>
        <v>1.97</v>
      </c>
      <c r="L949" s="2139">
        <f>J1034</f>
        <v>10.503899999999998</v>
      </c>
      <c r="M949" s="2025">
        <f>J949+L949</f>
        <v>13.383899999999997</v>
      </c>
      <c r="N949" s="2025">
        <f>K949+L949</f>
        <v>12.473899999999999</v>
      </c>
      <c r="O949" s="1887">
        <f>M949/10000</f>
        <v>0.0013383899999999996</v>
      </c>
      <c r="P949" s="1887">
        <f>N949/10000</f>
        <v>0.00124739</v>
      </c>
      <c r="R949" s="2575"/>
      <c r="S949" s="2575"/>
      <c r="T949" s="2575"/>
      <c r="U949" s="2575"/>
      <c r="V949" s="2575"/>
      <c r="W949" s="2575"/>
      <c r="X949" s="2575"/>
      <c r="Y949" s="2575"/>
      <c r="Z949" s="2575"/>
      <c r="AA949" s="2575"/>
      <c r="AB949" s="2575"/>
    </row>
    <row r="950" spans="1:28" s="165" customFormat="1" ht="16.5">
      <c r="A950" s="82"/>
      <c r="B950" s="1224"/>
      <c r="C950" s="1225"/>
      <c r="D950" s="1226"/>
      <c r="E950" s="1227"/>
      <c r="F950" s="1226"/>
      <c r="G950" s="1227"/>
      <c r="H950" s="1228"/>
      <c r="I950" s="1223"/>
      <c r="J950" s="2026"/>
      <c r="K950" s="2027"/>
      <c r="L950" s="2027"/>
      <c r="M950" s="2028"/>
      <c r="N950" s="2028"/>
      <c r="O950" s="1649"/>
      <c r="P950" s="314"/>
      <c r="R950" s="2575"/>
      <c r="S950" s="2575"/>
      <c r="T950" s="2575"/>
      <c r="U950" s="2575"/>
      <c r="V950" s="2575"/>
      <c r="W950" s="2575"/>
      <c r="X950" s="2575"/>
      <c r="Y950" s="2575"/>
      <c r="Z950" s="2575"/>
      <c r="AA950" s="2575"/>
      <c r="AB950" s="2575"/>
    </row>
    <row r="951" spans="1:28" s="165" customFormat="1" ht="15.75">
      <c r="A951" s="492"/>
      <c r="B951" s="1231"/>
      <c r="C951" s="1232"/>
      <c r="D951" s="1232"/>
      <c r="E951" s="1232"/>
      <c r="F951" s="1232"/>
      <c r="G951" s="1232"/>
      <c r="H951" s="1233"/>
      <c r="I951" s="1234"/>
      <c r="J951" s="1235"/>
      <c r="K951" s="1236"/>
      <c r="L951" s="1236"/>
      <c r="M951" s="1237"/>
      <c r="N951" s="1237"/>
      <c r="O951" s="1669"/>
      <c r="P951" s="1668"/>
      <c r="R951" s="2575"/>
      <c r="S951" s="2575"/>
      <c r="T951" s="2575"/>
      <c r="U951" s="2575"/>
      <c r="V951" s="2575"/>
      <c r="W951" s="2575"/>
      <c r="X951" s="2575"/>
      <c r="Y951" s="2575"/>
      <c r="Z951" s="2575"/>
      <c r="AA951" s="2575"/>
      <c r="AB951" s="2575"/>
    </row>
    <row r="952" spans="1:28" s="165" customFormat="1" ht="15.75">
      <c r="A952" s="1238"/>
      <c r="B952" s="237"/>
      <c r="C952" s="237"/>
      <c r="D952" s="237"/>
      <c r="E952" s="237"/>
      <c r="F952" s="237"/>
      <c r="G952" s="237"/>
      <c r="H952" s="237"/>
      <c r="I952" s="1239"/>
      <c r="J952" s="1240"/>
      <c r="K952" s="1240"/>
      <c r="L952" s="1240"/>
      <c r="M952" s="237"/>
      <c r="N952" s="237"/>
      <c r="R952" s="2575"/>
      <c r="S952" s="2575"/>
      <c r="T952" s="2575"/>
      <c r="U952" s="2575"/>
      <c r="V952" s="2575"/>
      <c r="W952" s="2575"/>
      <c r="X952" s="2575"/>
      <c r="Y952" s="2575"/>
      <c r="Z952" s="2575"/>
      <c r="AA952" s="2575"/>
      <c r="AB952" s="2575"/>
    </row>
    <row r="953" spans="1:28" s="165" customFormat="1" ht="15.75">
      <c r="A953" s="1240"/>
      <c r="B953" s="237"/>
      <c r="C953" s="237"/>
      <c r="D953" s="237"/>
      <c r="E953" s="237"/>
      <c r="F953" s="237"/>
      <c r="G953" s="237"/>
      <c r="H953" s="237"/>
      <c r="I953" s="1239"/>
      <c r="J953" s="1240"/>
      <c r="K953" s="1240"/>
      <c r="L953" s="1240"/>
      <c r="M953" s="237"/>
      <c r="N953" s="237"/>
      <c r="R953" s="2575"/>
      <c r="S953" s="2575"/>
      <c r="T953" s="2575"/>
      <c r="U953" s="2575"/>
      <c r="V953" s="2575"/>
      <c r="W953" s="2575"/>
      <c r="X953" s="2575"/>
      <c r="Y953" s="2575"/>
      <c r="Z953" s="2575"/>
      <c r="AA953" s="2575"/>
      <c r="AB953" s="2575"/>
    </row>
    <row r="954" spans="1:28" s="165" customFormat="1" ht="15.75">
      <c r="A954" s="1240"/>
      <c r="B954" s="237"/>
      <c r="C954" s="237"/>
      <c r="D954" s="237"/>
      <c r="E954" s="237"/>
      <c r="F954" s="237"/>
      <c r="G954" s="237"/>
      <c r="H954" s="237"/>
      <c r="I954" s="1239"/>
      <c r="J954" s="1240"/>
      <c r="K954" s="1240"/>
      <c r="L954" s="1240"/>
      <c r="M954" s="237"/>
      <c r="N954" s="237"/>
      <c r="R954" s="2575"/>
      <c r="S954" s="2575"/>
      <c r="T954" s="2575"/>
      <c r="U954" s="2575"/>
      <c r="V954" s="2575"/>
      <c r="W954" s="2575"/>
      <c r="X954" s="2575"/>
      <c r="Y954" s="2575"/>
      <c r="Z954" s="2575"/>
      <c r="AA954" s="2575"/>
      <c r="AB954" s="2575"/>
    </row>
    <row r="955" spans="1:28" s="165" customFormat="1" ht="15.75">
      <c r="A955" s="1239" t="str">
        <f>A899</f>
        <v>Главный бухгалтер</v>
      </c>
      <c r="B955" s="237"/>
      <c r="C955" s="237"/>
      <c r="D955" s="237"/>
      <c r="E955" s="237"/>
      <c r="F955" s="237"/>
      <c r="G955" s="237"/>
      <c r="H955" s="237"/>
      <c r="I955" s="1239"/>
      <c r="J955" s="1240"/>
      <c r="K955" s="1240"/>
      <c r="L955" s="1240"/>
      <c r="M955" s="1239"/>
      <c r="N955" s="1239" t="str">
        <f>N899</f>
        <v>М.В. Ровгач</v>
      </c>
      <c r="R955" s="2575"/>
      <c r="S955" s="2575"/>
      <c r="T955" s="2575"/>
      <c r="U955" s="2575"/>
      <c r="V955" s="2575"/>
      <c r="W955" s="2575"/>
      <c r="X955" s="2575"/>
      <c r="Y955" s="2575"/>
      <c r="Z955" s="2575"/>
      <c r="AA955" s="2575"/>
      <c r="AB955" s="2575"/>
    </row>
    <row r="956" spans="1:28" s="165" customFormat="1" ht="15.75">
      <c r="A956" s="1239"/>
      <c r="B956" s="237"/>
      <c r="C956" s="237"/>
      <c r="D956" s="237"/>
      <c r="E956" s="237"/>
      <c r="F956" s="237"/>
      <c r="G956" s="237"/>
      <c r="H956" s="237"/>
      <c r="I956" s="1239"/>
      <c r="J956" s="1240"/>
      <c r="K956" s="1240"/>
      <c r="L956" s="1240"/>
      <c r="M956" s="1239"/>
      <c r="N956" s="1239"/>
      <c r="R956" s="2575"/>
      <c r="S956" s="2575"/>
      <c r="T956" s="2575"/>
      <c r="U956" s="2575"/>
      <c r="V956" s="2575"/>
      <c r="W956" s="2575"/>
      <c r="X956" s="2575"/>
      <c r="Y956" s="2575"/>
      <c r="Z956" s="2575"/>
      <c r="AA956" s="2575"/>
      <c r="AB956" s="2575"/>
    </row>
    <row r="957" spans="1:28" s="165" customFormat="1" ht="15.75">
      <c r="A957" s="1239"/>
      <c r="B957" s="237"/>
      <c r="C957" s="237"/>
      <c r="D957" s="237"/>
      <c r="E957" s="237"/>
      <c r="F957" s="237"/>
      <c r="G957" s="237"/>
      <c r="H957" s="237"/>
      <c r="I957" s="1239"/>
      <c r="J957" s="1240"/>
      <c r="K957" s="1240"/>
      <c r="L957" s="1240"/>
      <c r="M957" s="1239"/>
      <c r="N957" s="1239"/>
      <c r="R957" s="2575"/>
      <c r="S957" s="2575"/>
      <c r="T957" s="2575"/>
      <c r="U957" s="2575"/>
      <c r="V957" s="2575"/>
      <c r="W957" s="2575"/>
      <c r="X957" s="2575"/>
      <c r="Y957" s="2575"/>
      <c r="Z957" s="2575"/>
      <c r="AA957" s="2575"/>
      <c r="AB957" s="2575"/>
    </row>
    <row r="958" spans="1:28" s="165" customFormat="1" ht="15.75">
      <c r="A958" s="409" t="s">
        <v>152</v>
      </c>
      <c r="B958" s="409"/>
      <c r="C958" s="409"/>
      <c r="D958" s="409"/>
      <c r="E958" s="409"/>
      <c r="F958" s="409"/>
      <c r="G958" s="409"/>
      <c r="H958" s="409"/>
      <c r="I958" s="409"/>
      <c r="J958" s="409"/>
      <c r="K958" s="409"/>
      <c r="L958" s="409"/>
      <c r="M958" s="409"/>
      <c r="N958" s="1239" t="str">
        <f>N901</f>
        <v>О.Н.Гаркавая</v>
      </c>
      <c r="R958" s="2575"/>
      <c r="S958" s="2575"/>
      <c r="T958" s="2575"/>
      <c r="U958" s="2575"/>
      <c r="V958" s="2575"/>
      <c r="W958" s="2575"/>
      <c r="X958" s="2575"/>
      <c r="Y958" s="2575"/>
      <c r="Z958" s="2575"/>
      <c r="AA958" s="2575"/>
      <c r="AB958" s="2575"/>
    </row>
    <row r="959" spans="1:28" s="165" customFormat="1" ht="15.75">
      <c r="A959" s="1240"/>
      <c r="B959" s="237"/>
      <c r="C959" s="237"/>
      <c r="D959" s="237"/>
      <c r="E959" s="237"/>
      <c r="F959" s="237"/>
      <c r="G959" s="237"/>
      <c r="H959" s="237"/>
      <c r="I959" s="1239"/>
      <c r="J959" s="1240"/>
      <c r="K959" s="1240"/>
      <c r="L959" s="1240"/>
      <c r="M959" s="1240"/>
      <c r="N959" s="1240"/>
      <c r="R959" s="2575"/>
      <c r="S959" s="2575"/>
      <c r="T959" s="2575"/>
      <c r="U959" s="2575"/>
      <c r="V959" s="2575"/>
      <c r="W959" s="2575"/>
      <c r="X959" s="2575"/>
      <c r="Y959" s="2575"/>
      <c r="Z959" s="2575"/>
      <c r="AA959" s="2575"/>
      <c r="AB959" s="2575"/>
    </row>
    <row r="960" spans="1:28" s="165" customFormat="1" ht="15.75">
      <c r="A960" s="1240"/>
      <c r="B960" s="237"/>
      <c r="C960" s="237"/>
      <c r="D960" s="237"/>
      <c r="E960" s="237"/>
      <c r="F960" s="237"/>
      <c r="G960" s="237"/>
      <c r="H960" s="237"/>
      <c r="I960" s="1239"/>
      <c r="J960" s="1240"/>
      <c r="K960" s="1240"/>
      <c r="L960" s="1240"/>
      <c r="M960" s="1240"/>
      <c r="N960" s="1240"/>
      <c r="R960" s="2575"/>
      <c r="S960" s="2575"/>
      <c r="T960" s="2575"/>
      <c r="U960" s="2575"/>
      <c r="V960" s="2575"/>
      <c r="W960" s="2575"/>
      <c r="X960" s="2575"/>
      <c r="Y960" s="2575"/>
      <c r="Z960" s="2575"/>
      <c r="AA960" s="2575"/>
      <c r="AB960" s="2575"/>
    </row>
    <row r="961" spans="1:28" s="165" customFormat="1" ht="15.75">
      <c r="A961" s="409" t="s">
        <v>168</v>
      </c>
      <c r="B961" s="409"/>
      <c r="C961" s="409"/>
      <c r="D961" s="409"/>
      <c r="E961" s="409"/>
      <c r="F961" s="409"/>
      <c r="G961" s="409"/>
      <c r="H961" s="409"/>
      <c r="I961" s="409"/>
      <c r="J961" s="409"/>
      <c r="K961" s="409"/>
      <c r="L961" s="409"/>
      <c r="M961" s="409"/>
      <c r="N961" s="409" t="s">
        <v>830</v>
      </c>
      <c r="R961" s="2575"/>
      <c r="S961" s="2575"/>
      <c r="T961" s="2575"/>
      <c r="U961" s="2575"/>
      <c r="V961" s="2575"/>
      <c r="W961" s="2575"/>
      <c r="X961" s="2575"/>
      <c r="Y961" s="2575"/>
      <c r="Z961" s="2575"/>
      <c r="AA961" s="2575"/>
      <c r="AB961" s="2575"/>
    </row>
    <row r="962" spans="1:28" s="165" customFormat="1" ht="15.75">
      <c r="A962" s="409"/>
      <c r="B962" s="409"/>
      <c r="C962" s="409"/>
      <c r="D962" s="409"/>
      <c r="E962" s="409"/>
      <c r="F962" s="409"/>
      <c r="G962" s="409"/>
      <c r="H962" s="409"/>
      <c r="I962" s="409"/>
      <c r="J962" s="409"/>
      <c r="K962" s="409"/>
      <c r="L962" s="409"/>
      <c r="M962" s="409"/>
      <c r="N962" s="409"/>
      <c r="R962" s="2575"/>
      <c r="S962" s="2575"/>
      <c r="T962" s="2575"/>
      <c r="U962" s="2575"/>
      <c r="V962" s="2575"/>
      <c r="W962" s="2575"/>
      <c r="X962" s="2575"/>
      <c r="Y962" s="2575"/>
      <c r="Z962" s="2575"/>
      <c r="AA962" s="2575"/>
      <c r="AB962" s="2575"/>
    </row>
    <row r="963" spans="1:28" s="165" customFormat="1" ht="15.75">
      <c r="A963" s="409"/>
      <c r="B963" s="409"/>
      <c r="C963" s="409"/>
      <c r="D963" s="409"/>
      <c r="E963" s="409"/>
      <c r="F963" s="409"/>
      <c r="G963" s="409"/>
      <c r="H963" s="409"/>
      <c r="I963" s="409"/>
      <c r="J963" s="409"/>
      <c r="K963" s="409"/>
      <c r="L963" s="409"/>
      <c r="M963" s="409"/>
      <c r="N963" s="409"/>
      <c r="R963" s="2575"/>
      <c r="S963" s="2575"/>
      <c r="T963" s="2575"/>
      <c r="U963" s="2575"/>
      <c r="V963" s="2575"/>
      <c r="W963" s="2575"/>
      <c r="X963" s="2575"/>
      <c r="Y963" s="2575"/>
      <c r="Z963" s="2575"/>
      <c r="AA963" s="2575"/>
      <c r="AB963" s="2575"/>
    </row>
    <row r="964" spans="1:28" s="165" customFormat="1" ht="15.75">
      <c r="A964" s="409" t="s">
        <v>831</v>
      </c>
      <c r="B964" s="409"/>
      <c r="C964" s="409"/>
      <c r="D964" s="409"/>
      <c r="E964" s="409"/>
      <c r="F964" s="409"/>
      <c r="G964" s="409"/>
      <c r="H964" s="409"/>
      <c r="I964" s="409"/>
      <c r="J964" s="409"/>
      <c r="K964" s="409"/>
      <c r="L964" s="409"/>
      <c r="M964" s="409"/>
      <c r="N964" s="409" t="s">
        <v>832</v>
      </c>
      <c r="R964" s="2575"/>
      <c r="S964" s="2575"/>
      <c r="T964" s="2575"/>
      <c r="U964" s="2575"/>
      <c r="V964" s="2575"/>
      <c r="W964" s="2575"/>
      <c r="X964" s="2575"/>
      <c r="Y964" s="2575"/>
      <c r="Z964" s="2575"/>
      <c r="AA964" s="2575"/>
      <c r="AB964" s="2575"/>
    </row>
    <row r="965" spans="1:28" s="165" customFormat="1" ht="15.75">
      <c r="A965" s="1199"/>
      <c r="B965" s="1199"/>
      <c r="C965" s="1199"/>
      <c r="D965" s="1199"/>
      <c r="E965" s="1199"/>
      <c r="F965" s="1199"/>
      <c r="G965" s="1199"/>
      <c r="H965" s="1199"/>
      <c r="I965" s="1199"/>
      <c r="J965" s="1199"/>
      <c r="K965" s="1199"/>
      <c r="L965" s="1199"/>
      <c r="M965" s="1199"/>
      <c r="N965" s="1199"/>
      <c r="R965" s="2575"/>
      <c r="S965" s="2575"/>
      <c r="T965" s="2575"/>
      <c r="U965" s="2575"/>
      <c r="V965" s="2575"/>
      <c r="W965" s="2575"/>
      <c r="X965" s="2575"/>
      <c r="Y965" s="2575"/>
      <c r="Z965" s="2575"/>
      <c r="AA965" s="2575"/>
      <c r="AB965" s="2575"/>
    </row>
    <row r="966" spans="1:28" s="165" customFormat="1" ht="15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R966" s="2575"/>
      <c r="S966" s="2575"/>
      <c r="T966" s="2575"/>
      <c r="U966" s="2575"/>
      <c r="V966" s="2575"/>
      <c r="W966" s="2575"/>
      <c r="X966" s="2575"/>
      <c r="Y966" s="2575"/>
      <c r="Z966" s="2575"/>
      <c r="AA966" s="2575"/>
      <c r="AB966" s="2575"/>
    </row>
    <row r="967" spans="1:28" s="165" customFormat="1" ht="15.75">
      <c r="A967"/>
      <c r="B967"/>
      <c r="C967"/>
      <c r="D967"/>
      <c r="E967"/>
      <c r="F967"/>
      <c r="G967"/>
      <c r="H967"/>
      <c r="I967"/>
      <c r="J967"/>
      <c r="K967"/>
      <c r="L967"/>
      <c r="M967" s="417"/>
      <c r="N967" s="479"/>
      <c r="R967" s="2575"/>
      <c r="S967" s="2575"/>
      <c r="T967" s="2575"/>
      <c r="U967" s="2575"/>
      <c r="V967" s="2575"/>
      <c r="W967" s="2575"/>
      <c r="X967" s="2575"/>
      <c r="Y967" s="2575"/>
      <c r="Z967" s="2575"/>
      <c r="AA967" s="2575"/>
      <c r="AB967" s="2575"/>
    </row>
    <row r="968" spans="1:28" s="165" customFormat="1" ht="15.75">
      <c r="A968"/>
      <c r="B968"/>
      <c r="C968"/>
      <c r="D968"/>
      <c r="E968"/>
      <c r="F968"/>
      <c r="G968"/>
      <c r="H968"/>
      <c r="I968"/>
      <c r="J968"/>
      <c r="K968"/>
      <c r="L968"/>
      <c r="M968" s="417"/>
      <c r="N968" s="479"/>
      <c r="R968" s="2575"/>
      <c r="S968" s="2575"/>
      <c r="T968" s="2575"/>
      <c r="U968" s="2575"/>
      <c r="V968" s="2575"/>
      <c r="W968" s="2575"/>
      <c r="X968" s="2575"/>
      <c r="Y968" s="2575"/>
      <c r="Z968" s="2575"/>
      <c r="AA968" s="2575"/>
      <c r="AB968" s="2575"/>
    </row>
    <row r="969" spans="1:28" s="165" customFormat="1" ht="15.75">
      <c r="A969"/>
      <c r="B969"/>
      <c r="C969"/>
      <c r="D969"/>
      <c r="E969"/>
      <c r="F969"/>
      <c r="G969"/>
      <c r="H969"/>
      <c r="I969"/>
      <c r="J969"/>
      <c r="K969"/>
      <c r="L969"/>
      <c r="M969" s="417"/>
      <c r="N969" s="479"/>
      <c r="R969" s="2575"/>
      <c r="S969" s="2575"/>
      <c r="T969" s="2575"/>
      <c r="U969" s="2575"/>
      <c r="V969" s="2575"/>
      <c r="W969" s="2575"/>
      <c r="X969" s="2575"/>
      <c r="Y969" s="2575"/>
      <c r="Z969" s="2575"/>
      <c r="AA969" s="2575"/>
      <c r="AB969" s="2575"/>
    </row>
    <row r="970" spans="1:28" s="165" customFormat="1" ht="15.75">
      <c r="A970"/>
      <c r="B970"/>
      <c r="C970"/>
      <c r="D970"/>
      <c r="E970"/>
      <c r="F970"/>
      <c r="G970"/>
      <c r="H970"/>
      <c r="I970"/>
      <c r="J970"/>
      <c r="K970"/>
      <c r="L970"/>
      <c r="M970" s="417"/>
      <c r="N970" s="479"/>
      <c r="R970" s="2575"/>
      <c r="S970" s="2575"/>
      <c r="T970" s="2575"/>
      <c r="U970" s="2575"/>
      <c r="V970" s="2575"/>
      <c r="W970" s="2575"/>
      <c r="X970" s="2575"/>
      <c r="Y970" s="2575"/>
      <c r="Z970" s="2575"/>
      <c r="AA970" s="2575"/>
      <c r="AB970" s="2575"/>
    </row>
    <row r="971" spans="1:28" s="165" customFormat="1" ht="15.75">
      <c r="A971"/>
      <c r="B971"/>
      <c r="C971"/>
      <c r="D971"/>
      <c r="E971"/>
      <c r="F971"/>
      <c r="G971"/>
      <c r="H971"/>
      <c r="I971"/>
      <c r="J971"/>
      <c r="K971"/>
      <c r="L971"/>
      <c r="M971" s="417"/>
      <c r="N971" s="479"/>
      <c r="R971" s="2575"/>
      <c r="S971" s="2575"/>
      <c r="T971" s="2575"/>
      <c r="U971" s="2575"/>
      <c r="V971" s="2575"/>
      <c r="W971" s="2575"/>
      <c r="X971" s="2575"/>
      <c r="Y971" s="2575"/>
      <c r="Z971" s="2575"/>
      <c r="AA971" s="2575"/>
      <c r="AB971" s="2575"/>
    </row>
    <row r="972" spans="1:28" s="165" customFormat="1" ht="15.75">
      <c r="A972"/>
      <c r="B972"/>
      <c r="C972"/>
      <c r="D972"/>
      <c r="E972"/>
      <c r="F972"/>
      <c r="G972"/>
      <c r="H972"/>
      <c r="I972"/>
      <c r="J972"/>
      <c r="K972"/>
      <c r="L972"/>
      <c r="M972" s="417"/>
      <c r="N972" s="479"/>
      <c r="R972" s="2575"/>
      <c r="S972" s="2575"/>
      <c r="T972" s="2575"/>
      <c r="U972" s="2575"/>
      <c r="V972" s="2575"/>
      <c r="W972" s="2575"/>
      <c r="X972" s="2575"/>
      <c r="Y972" s="2575"/>
      <c r="Z972" s="2575"/>
      <c r="AA972" s="2575"/>
      <c r="AB972" s="2575"/>
    </row>
    <row r="973" spans="1:28" s="165" customFormat="1" ht="15.75">
      <c r="A973"/>
      <c r="B973"/>
      <c r="C973"/>
      <c r="D973"/>
      <c r="E973"/>
      <c r="F973"/>
      <c r="G973"/>
      <c r="H973"/>
      <c r="I973"/>
      <c r="J973"/>
      <c r="K973"/>
      <c r="L973"/>
      <c r="M973" s="417"/>
      <c r="N973" s="479"/>
      <c r="R973" s="2575"/>
      <c r="S973" s="2575"/>
      <c r="T973" s="2575"/>
      <c r="U973" s="2575"/>
      <c r="V973" s="2575"/>
      <c r="W973" s="2575"/>
      <c r="X973" s="2575"/>
      <c r="Y973" s="2575"/>
      <c r="Z973" s="2575"/>
      <c r="AA973" s="2575"/>
      <c r="AB973" s="2575"/>
    </row>
    <row r="974" spans="1:28" s="165" customFormat="1" ht="15.75">
      <c r="A974"/>
      <c r="B974"/>
      <c r="C974"/>
      <c r="D974"/>
      <c r="E974"/>
      <c r="F974"/>
      <c r="G974"/>
      <c r="H974"/>
      <c r="I974"/>
      <c r="J974"/>
      <c r="K974"/>
      <c r="L974"/>
      <c r="M974" s="417"/>
      <c r="N974" s="479"/>
      <c r="R974" s="2575"/>
      <c r="S974" s="2575"/>
      <c r="T974" s="2575"/>
      <c r="U974" s="2575"/>
      <c r="V974" s="2575"/>
      <c r="W974" s="2575"/>
      <c r="X974" s="2575"/>
      <c r="Y974" s="2575"/>
      <c r="Z974" s="2575"/>
      <c r="AA974" s="2575"/>
      <c r="AB974" s="2575"/>
    </row>
    <row r="975" spans="1:28" s="165" customFormat="1" ht="15.75">
      <c r="A975"/>
      <c r="B975"/>
      <c r="C975"/>
      <c r="D975"/>
      <c r="E975"/>
      <c r="F975"/>
      <c r="G975"/>
      <c r="H975"/>
      <c r="I975"/>
      <c r="J975"/>
      <c r="K975"/>
      <c r="L975"/>
      <c r="M975" s="417"/>
      <c r="N975" s="479"/>
      <c r="R975" s="2575"/>
      <c r="S975" s="2575"/>
      <c r="T975" s="2575"/>
      <c r="U975" s="2575"/>
      <c r="V975" s="2575"/>
      <c r="W975" s="2575"/>
      <c r="X975" s="2575"/>
      <c r="Y975" s="2575"/>
      <c r="Z975" s="2575"/>
      <c r="AA975" s="2575"/>
      <c r="AB975" s="2575"/>
    </row>
    <row r="976" spans="1:28" s="165" customFormat="1" ht="15.75">
      <c r="A976"/>
      <c r="B976"/>
      <c r="C976"/>
      <c r="D976"/>
      <c r="E976"/>
      <c r="F976"/>
      <c r="G976"/>
      <c r="H976"/>
      <c r="I976"/>
      <c r="J976"/>
      <c r="K976"/>
      <c r="L976"/>
      <c r="M976" s="417"/>
      <c r="N976" s="479"/>
      <c r="R976" s="2575"/>
      <c r="S976" s="2575"/>
      <c r="T976" s="2575"/>
      <c r="U976" s="2575"/>
      <c r="V976" s="2575"/>
      <c r="W976" s="2575"/>
      <c r="X976" s="2575"/>
      <c r="Y976" s="2575"/>
      <c r="Z976" s="2575"/>
      <c r="AA976" s="2575"/>
      <c r="AB976" s="2575"/>
    </row>
    <row r="977" spans="1:28" s="165" customFormat="1" ht="15.75">
      <c r="A977"/>
      <c r="B977"/>
      <c r="C977"/>
      <c r="D977"/>
      <c r="E977"/>
      <c r="F977"/>
      <c r="G977"/>
      <c r="H977"/>
      <c r="I977"/>
      <c r="J977"/>
      <c r="K977"/>
      <c r="L977"/>
      <c r="M977" s="417"/>
      <c r="N977" s="479"/>
      <c r="R977" s="2575"/>
      <c r="S977" s="2575"/>
      <c r="T977" s="2575"/>
      <c r="U977" s="2575"/>
      <c r="V977" s="2575"/>
      <c r="W977" s="2575"/>
      <c r="X977" s="2575"/>
      <c r="Y977" s="2575"/>
      <c r="Z977" s="2575"/>
      <c r="AA977" s="2575"/>
      <c r="AB977" s="2575"/>
    </row>
    <row r="978" spans="1:28" s="165" customFormat="1" ht="15.75">
      <c r="A978"/>
      <c r="B978"/>
      <c r="C978"/>
      <c r="D978"/>
      <c r="E978"/>
      <c r="F978"/>
      <c r="G978"/>
      <c r="H978"/>
      <c r="I978"/>
      <c r="J978"/>
      <c r="K978"/>
      <c r="L978"/>
      <c r="M978" s="417"/>
      <c r="N978" s="479"/>
      <c r="R978" s="2575"/>
      <c r="S978" s="2575"/>
      <c r="T978" s="2575"/>
      <c r="U978" s="2575"/>
      <c r="V978" s="2575"/>
      <c r="W978" s="2575"/>
      <c r="X978" s="2575"/>
      <c r="Y978" s="2575"/>
      <c r="Z978" s="2575"/>
      <c r="AA978" s="2575"/>
      <c r="AB978" s="2575"/>
    </row>
    <row r="979" spans="1:28" s="165" customFormat="1" ht="15.75">
      <c r="A979"/>
      <c r="B979"/>
      <c r="C979"/>
      <c r="D979"/>
      <c r="E979"/>
      <c r="F979"/>
      <c r="G979"/>
      <c r="H979"/>
      <c r="I979"/>
      <c r="J979"/>
      <c r="K979"/>
      <c r="L979"/>
      <c r="M979" s="417"/>
      <c r="N979" s="479"/>
      <c r="R979" s="2575"/>
      <c r="S979" s="2575"/>
      <c r="T979" s="2575"/>
      <c r="U979" s="2575"/>
      <c r="V979" s="2575"/>
      <c r="W979" s="2575"/>
      <c r="X979" s="2575"/>
      <c r="Y979" s="2575"/>
      <c r="Z979" s="2575"/>
      <c r="AA979" s="2575"/>
      <c r="AB979" s="2575"/>
    </row>
    <row r="980" spans="1:28" s="165" customFormat="1" ht="15.75">
      <c r="A980" s="2402" t="s">
        <v>154</v>
      </c>
      <c r="B980" s="2402"/>
      <c r="C980" s="2402"/>
      <c r="D980" s="2402"/>
      <c r="E980" s="2402"/>
      <c r="F980" s="2402"/>
      <c r="G980" s="2402"/>
      <c r="H980" s="2402"/>
      <c r="I980" s="2402"/>
      <c r="J980" s="2402"/>
      <c r="K980" s="2402"/>
      <c r="L980" s="2402"/>
      <c r="M980" s="417"/>
      <c r="N980" s="479"/>
      <c r="R980" s="2575"/>
      <c r="S980" s="2575"/>
      <c r="T980" s="2575"/>
      <c r="U980" s="2575"/>
      <c r="V980" s="2575"/>
      <c r="W980" s="2575"/>
      <c r="X980" s="2575"/>
      <c r="Y980" s="2575"/>
      <c r="Z980" s="2575"/>
      <c r="AA980" s="2575"/>
      <c r="AB980" s="2575"/>
    </row>
    <row r="981" spans="1:28" s="165" customFormat="1" ht="15.75">
      <c r="A981" s="148"/>
      <c r="B981" s="215"/>
      <c r="C981" s="257"/>
      <c r="D981" s="257"/>
      <c r="E981" s="149"/>
      <c r="F981" s="149"/>
      <c r="G981" s="258" t="s">
        <v>153</v>
      </c>
      <c r="H981" s="2403" t="str">
        <f>H681</f>
        <v>01.07.2017г.</v>
      </c>
      <c r="I981" s="2403"/>
      <c r="J981" s="150"/>
      <c r="K981" s="150"/>
      <c r="L981" s="256"/>
      <c r="M981" s="417"/>
      <c r="N981" s="479"/>
      <c r="R981" s="2575"/>
      <c r="S981" s="2575"/>
      <c r="T981" s="2575"/>
      <c r="U981" s="2575"/>
      <c r="V981" s="2575"/>
      <c r="W981" s="2575"/>
      <c r="X981" s="2575"/>
      <c r="Y981" s="2575"/>
      <c r="Z981" s="2575"/>
      <c r="AA981" s="2575"/>
      <c r="AB981" s="2575"/>
    </row>
    <row r="982" spans="1:28" s="165" customFormat="1" ht="15.75">
      <c r="A982" s="1247"/>
      <c r="B982" s="1248"/>
      <c r="C982" s="1249"/>
      <c r="D982" s="1249"/>
      <c r="E982" s="1250"/>
      <c r="F982" s="1251" t="s">
        <v>444</v>
      </c>
      <c r="G982" s="1252"/>
      <c r="H982" s="2384" t="s">
        <v>447</v>
      </c>
      <c r="I982" s="2385"/>
      <c r="J982" s="1253" t="s">
        <v>923</v>
      </c>
      <c r="K982" s="2386" t="s">
        <v>443</v>
      </c>
      <c r="L982" s="2387"/>
      <c r="M982" s="417"/>
      <c r="N982" s="479"/>
      <c r="R982" s="2575"/>
      <c r="S982" s="2575"/>
      <c r="T982" s="2575"/>
      <c r="U982" s="2575"/>
      <c r="V982" s="2575"/>
      <c r="W982" s="2575"/>
      <c r="X982" s="2575"/>
      <c r="Y982" s="2575"/>
      <c r="Z982" s="2575"/>
      <c r="AA982" s="2575"/>
      <c r="AB982" s="2575"/>
    </row>
    <row r="983" spans="1:28" s="165" customFormat="1" ht="15.75">
      <c r="A983" s="514"/>
      <c r="B983" s="1255"/>
      <c r="C983" s="159"/>
      <c r="D983" s="159"/>
      <c r="E983" s="159"/>
      <c r="F983" s="1256" t="s">
        <v>169</v>
      </c>
      <c r="G983" s="223"/>
      <c r="H983" s="1257"/>
      <c r="I983" s="1258"/>
      <c r="J983" s="1259" t="s">
        <v>924</v>
      </c>
      <c r="K983" s="2400" t="s">
        <v>925</v>
      </c>
      <c r="L983" s="2401"/>
      <c r="M983" s="417"/>
      <c r="N983" s="479"/>
      <c r="R983" s="2575"/>
      <c r="S983" s="2575"/>
      <c r="T983" s="2575"/>
      <c r="U983" s="2575"/>
      <c r="V983" s="2575"/>
      <c r="W983" s="2575"/>
      <c r="X983" s="2575"/>
      <c r="Y983" s="2575"/>
      <c r="Z983" s="2575"/>
      <c r="AA983" s="2575"/>
      <c r="AB983" s="2575"/>
    </row>
    <row r="984" spans="1:28" s="165" customFormat="1" ht="15.75">
      <c r="A984" s="514" t="s">
        <v>444</v>
      </c>
      <c r="B984" s="2410" t="s">
        <v>445</v>
      </c>
      <c r="C984" s="2411"/>
      <c r="D984" s="2411"/>
      <c r="E984" s="2411"/>
      <c r="F984" s="1256" t="s">
        <v>78</v>
      </c>
      <c r="G984" s="223" t="s">
        <v>844</v>
      </c>
      <c r="H984" s="1252" t="s">
        <v>926</v>
      </c>
      <c r="I984" s="1252" t="s">
        <v>927</v>
      </c>
      <c r="J984" s="1259" t="s">
        <v>448</v>
      </c>
      <c r="K984" s="2398" t="s">
        <v>453</v>
      </c>
      <c r="L984" s="2399"/>
      <c r="M984" s="417"/>
      <c r="N984" s="479"/>
      <c r="R984" s="2575"/>
      <c r="S984" s="2575"/>
      <c r="T984" s="2575"/>
      <c r="U984" s="2575"/>
      <c r="V984" s="2575"/>
      <c r="W984" s="2575"/>
      <c r="X984" s="2575"/>
      <c r="Y984" s="2575"/>
      <c r="Z984" s="2575"/>
      <c r="AA984" s="2575"/>
      <c r="AB984" s="2575"/>
    </row>
    <row r="985" spans="1:28" s="165" customFormat="1" ht="15.75">
      <c r="A985" s="514" t="s">
        <v>450</v>
      </c>
      <c r="B985" s="2410"/>
      <c r="C985" s="2411"/>
      <c r="D985" s="2411"/>
      <c r="E985" s="2411"/>
      <c r="F985" s="1256" t="s">
        <v>79</v>
      </c>
      <c r="G985" s="223" t="s">
        <v>928</v>
      </c>
      <c r="H985" s="223" t="s">
        <v>929</v>
      </c>
      <c r="I985" s="223" t="s">
        <v>930</v>
      </c>
      <c r="J985" s="1259" t="s">
        <v>452</v>
      </c>
      <c r="K985" s="1254" t="s">
        <v>926</v>
      </c>
      <c r="L985" s="1254" t="s">
        <v>927</v>
      </c>
      <c r="M985" s="417"/>
      <c r="N985" s="479"/>
      <c r="R985" s="2575"/>
      <c r="S985" s="2575"/>
      <c r="T985" s="2575"/>
      <c r="U985" s="2575"/>
      <c r="V985" s="2575"/>
      <c r="W985" s="2575"/>
      <c r="X985" s="2575"/>
      <c r="Y985" s="2575"/>
      <c r="Z985" s="2575"/>
      <c r="AA985" s="2575"/>
      <c r="AB985" s="2575"/>
    </row>
    <row r="986" spans="1:28" s="165" customFormat="1" ht="15.75">
      <c r="A986" s="514"/>
      <c r="B986" s="1255"/>
      <c r="C986" s="159"/>
      <c r="D986" s="159"/>
      <c r="E986" s="159"/>
      <c r="F986" s="1256" t="s">
        <v>80</v>
      </c>
      <c r="G986" s="223" t="s">
        <v>931</v>
      </c>
      <c r="H986" s="223"/>
      <c r="I986" s="223" t="s">
        <v>932</v>
      </c>
      <c r="J986" s="1262"/>
      <c r="K986" s="1260" t="s">
        <v>929</v>
      </c>
      <c r="L986" s="1260" t="s">
        <v>161</v>
      </c>
      <c r="M986" s="417"/>
      <c r="N986" s="479"/>
      <c r="R986" s="2575"/>
      <c r="S986" s="2575"/>
      <c r="T986" s="2575"/>
      <c r="U986" s="2575"/>
      <c r="V986" s="2575"/>
      <c r="W986" s="2575"/>
      <c r="X986" s="2575"/>
      <c r="Y986" s="2575"/>
      <c r="Z986" s="2575"/>
      <c r="AA986" s="2575"/>
      <c r="AB986" s="2575"/>
    </row>
    <row r="987" spans="1:28" s="165" customFormat="1" ht="15.75">
      <c r="A987" s="1263"/>
      <c r="B987" s="1264"/>
      <c r="C987" s="1265"/>
      <c r="D987" s="1265"/>
      <c r="E987" s="1265"/>
      <c r="F987" s="1266" t="s">
        <v>81</v>
      </c>
      <c r="G987" s="1267"/>
      <c r="H987" s="1267" t="s">
        <v>933</v>
      </c>
      <c r="I987" s="1267" t="s">
        <v>457</v>
      </c>
      <c r="J987" s="1268" t="s">
        <v>457</v>
      </c>
      <c r="K987" s="1261" t="s">
        <v>457</v>
      </c>
      <c r="L987" s="1261" t="s">
        <v>457</v>
      </c>
      <c r="M987" s="417"/>
      <c r="N987" s="479"/>
      <c r="R987" s="2575"/>
      <c r="S987" s="2575"/>
      <c r="T987" s="2575"/>
      <c r="U987" s="2575"/>
      <c r="V987" s="2575"/>
      <c r="W987" s="2575"/>
      <c r="X987" s="2575"/>
      <c r="Y987" s="2575"/>
      <c r="Z987" s="2575"/>
      <c r="AA987" s="2575"/>
      <c r="AB987" s="2575"/>
    </row>
    <row r="988" spans="1:28" s="165" customFormat="1" ht="15.75">
      <c r="A988" s="512">
        <v>1</v>
      </c>
      <c r="B988" s="2412" t="str">
        <f>B938</f>
        <v>Определение индивидуальных белков сыворотки крови (СРБ, С3, С4, С5, С1-ингибитор и т.д.)</v>
      </c>
      <c r="C988" s="2413"/>
      <c r="D988" s="2413"/>
      <c r="E988" s="2413"/>
      <c r="F988" s="2413"/>
      <c r="G988" s="2413"/>
      <c r="H988" s="2413"/>
      <c r="I988" s="2413"/>
      <c r="J988" s="2413"/>
      <c r="K988" s="2413"/>
      <c r="L988" s="2414"/>
      <c r="M988" s="417"/>
      <c r="N988" s="479"/>
      <c r="R988" s="2575"/>
      <c r="S988" s="2575"/>
      <c r="T988" s="2575"/>
      <c r="U988" s="2575"/>
      <c r="V988" s="2575"/>
      <c r="W988" s="2575"/>
      <c r="X988" s="2575"/>
      <c r="Y988" s="2575"/>
      <c r="Z988" s="2575"/>
      <c r="AA988" s="2575"/>
      <c r="AB988" s="2575"/>
    </row>
    <row r="989" spans="1:28" s="165" customFormat="1" ht="15.75">
      <c r="A989" s="513"/>
      <c r="B989" s="2393" t="str">
        <f>B939</f>
        <v>методом радиальной иммунодиффузии</v>
      </c>
      <c r="C989" s="2394"/>
      <c r="D989" s="2394"/>
      <c r="E989" s="2394"/>
      <c r="F989" s="2394"/>
      <c r="G989" s="2394"/>
      <c r="H989" s="2394"/>
      <c r="I989" s="2394"/>
      <c r="J989" s="2394"/>
      <c r="K989" s="2394"/>
      <c r="L989" s="2395"/>
      <c r="M989" s="417"/>
      <c r="N989" s="479"/>
      <c r="R989" s="2575"/>
      <c r="S989" s="2575"/>
      <c r="T989" s="2575"/>
      <c r="U989" s="2575"/>
      <c r="V989" s="2575"/>
      <c r="W989" s="2575"/>
      <c r="X989" s="2575"/>
      <c r="Y989" s="2575"/>
      <c r="Z989" s="2575"/>
      <c r="AA989" s="2575"/>
      <c r="AB989" s="2575"/>
    </row>
    <row r="990" spans="1:28" s="165" customFormat="1" ht="15.75">
      <c r="A990" s="513"/>
      <c r="B990" s="2393" t="str">
        <f>B940</f>
        <v>с использованием готовых иммунодиффузионных планшет (7.16.1.2)</v>
      </c>
      <c r="C990" s="2394"/>
      <c r="D990" s="2394"/>
      <c r="E990" s="2394"/>
      <c r="F990" s="2394"/>
      <c r="G990" s="2394"/>
      <c r="H990" s="2394"/>
      <c r="I990" s="2394"/>
      <c r="J990" s="2394"/>
      <c r="K990" s="2394"/>
      <c r="L990" s="2395"/>
      <c r="M990" s="417"/>
      <c r="N990" s="479"/>
      <c r="R990" s="2575"/>
      <c r="S990" s="2575"/>
      <c r="T990" s="2575"/>
      <c r="U990" s="2575"/>
      <c r="V990" s="2575"/>
      <c r="W990" s="2575"/>
      <c r="X990" s="2575"/>
      <c r="Y990" s="2575"/>
      <c r="Z990" s="2575"/>
      <c r="AA990" s="2575"/>
      <c r="AB990" s="2575"/>
    </row>
    <row r="991" spans="1:28" s="165" customFormat="1" ht="15.75">
      <c r="A991" s="194">
        <v>1</v>
      </c>
      <c r="B991" s="2396" t="s">
        <v>170</v>
      </c>
      <c r="C991" s="2397"/>
      <c r="D991" s="2397"/>
      <c r="E991" s="2397"/>
      <c r="F991" s="1269"/>
      <c r="G991" s="1270"/>
      <c r="H991" s="1271"/>
      <c r="I991" s="1271"/>
      <c r="J991" s="1309"/>
      <c r="K991" s="1272"/>
      <c r="L991" s="1271"/>
      <c r="M991" s="417"/>
      <c r="N991" s="479"/>
      <c r="R991" s="2575"/>
      <c r="S991" s="2575"/>
      <c r="T991" s="2575"/>
      <c r="U991" s="2575"/>
      <c r="V991" s="2575"/>
      <c r="W991" s="2575"/>
      <c r="X991" s="2575"/>
      <c r="Y991" s="2575"/>
      <c r="Z991" s="2575"/>
      <c r="AA991" s="2575"/>
      <c r="AB991" s="2575"/>
    </row>
    <row r="992" spans="1:28" s="165" customFormat="1" ht="15.75">
      <c r="A992" s="514"/>
      <c r="B992" s="2396"/>
      <c r="C992" s="2397"/>
      <c r="D992" s="2397"/>
      <c r="E992" s="2397"/>
      <c r="F992" s="1269">
        <v>1.2</v>
      </c>
      <c r="G992" s="1270" t="s">
        <v>869</v>
      </c>
      <c r="H992" s="2006">
        <v>0</v>
      </c>
      <c r="I992" s="2006">
        <f>K23</f>
        <v>0.47</v>
      </c>
      <c r="J992" s="2008">
        <v>0</v>
      </c>
      <c r="K992" s="2009">
        <f>H992+J992</f>
        <v>0</v>
      </c>
      <c r="L992" s="2009">
        <f>I992+J992</f>
        <v>0.47</v>
      </c>
      <c r="M992" s="417"/>
      <c r="N992" s="479"/>
      <c r="R992" s="2575"/>
      <c r="S992" s="2575"/>
      <c r="T992" s="2575"/>
      <c r="U992" s="2575"/>
      <c r="V992" s="2575"/>
      <c r="W992" s="2575"/>
      <c r="X992" s="2575"/>
      <c r="Y992" s="2575"/>
      <c r="Z992" s="2575"/>
      <c r="AA992" s="2575"/>
      <c r="AB992" s="2575"/>
    </row>
    <row r="993" spans="1:28" s="165" customFormat="1" ht="15.75">
      <c r="A993" s="514"/>
      <c r="B993" s="2396"/>
      <c r="C993" s="2397"/>
      <c r="D993" s="2397"/>
      <c r="E993" s="2397"/>
      <c r="F993" s="1269"/>
      <c r="G993" s="1270"/>
      <c r="H993" s="2006"/>
      <c r="I993" s="2006"/>
      <c r="J993" s="2008"/>
      <c r="K993" s="2009"/>
      <c r="L993" s="2006"/>
      <c r="M993" s="417"/>
      <c r="N993" s="479"/>
      <c r="R993" s="2575"/>
      <c r="S993" s="2575"/>
      <c r="T993" s="2575"/>
      <c r="U993" s="2575"/>
      <c r="V993" s="2575"/>
      <c r="W993" s="2575"/>
      <c r="X993" s="2575"/>
      <c r="Y993" s="2575"/>
      <c r="Z993" s="2575"/>
      <c r="AA993" s="2575"/>
      <c r="AB993" s="2575"/>
    </row>
    <row r="994" spans="1:28" s="165" customFormat="1" ht="15.75">
      <c r="A994" s="514">
        <v>2</v>
      </c>
      <c r="B994" s="522" t="s">
        <v>171</v>
      </c>
      <c r="C994" s="149"/>
      <c r="D994" s="149"/>
      <c r="E994" s="149"/>
      <c r="F994" s="221">
        <v>1.4</v>
      </c>
      <c r="G994" s="532" t="s">
        <v>873</v>
      </c>
      <c r="H994" s="2010">
        <v>0</v>
      </c>
      <c r="I994" s="2010">
        <f>K30</f>
        <v>0.52</v>
      </c>
      <c r="J994" s="2010">
        <f>L30</f>
        <v>0.5331999999999999</v>
      </c>
      <c r="K994" s="2011">
        <v>0</v>
      </c>
      <c r="L994" s="2011">
        <f>I994+J994</f>
        <v>1.0532</v>
      </c>
      <c r="M994" s="417"/>
      <c r="N994" s="479"/>
      <c r="R994" s="2575"/>
      <c r="S994" s="2575"/>
      <c r="T994" s="2575"/>
      <c r="U994" s="2575"/>
      <c r="V994" s="2575"/>
      <c r="W994" s="2575"/>
      <c r="X994" s="2575"/>
      <c r="Y994" s="2575"/>
      <c r="Z994" s="2575"/>
      <c r="AA994" s="2575"/>
      <c r="AB994" s="2575"/>
    </row>
    <row r="995" spans="1:28" s="165" customFormat="1" ht="15.75">
      <c r="A995" s="514">
        <v>3</v>
      </c>
      <c r="B995" s="2396" t="s">
        <v>172</v>
      </c>
      <c r="C995" s="2397"/>
      <c r="D995" s="2397"/>
      <c r="E995" s="2397"/>
      <c r="F995" s="221">
        <v>1.5</v>
      </c>
      <c r="G995" s="532" t="s">
        <v>873</v>
      </c>
      <c r="H995" s="2010">
        <v>0</v>
      </c>
      <c r="I995" s="2010">
        <f>K31</f>
        <v>0.31</v>
      </c>
      <c r="J995" s="2010">
        <f>L31</f>
        <v>0.0826</v>
      </c>
      <c r="K995" s="2011">
        <v>0</v>
      </c>
      <c r="L995" s="2011">
        <f>I995+J995</f>
        <v>0.3926</v>
      </c>
      <c r="M995" s="417"/>
      <c r="N995" s="479"/>
      <c r="R995" s="2575"/>
      <c r="S995" s="2575"/>
      <c r="T995" s="2575"/>
      <c r="U995" s="2575"/>
      <c r="V995" s="2575"/>
      <c r="W995" s="2575"/>
      <c r="X995" s="2575"/>
      <c r="Y995" s="2575"/>
      <c r="Z995" s="2575"/>
      <c r="AA995" s="2575"/>
      <c r="AB995" s="2575"/>
    </row>
    <row r="996" spans="1:28" s="165" customFormat="1" ht="15.75">
      <c r="A996" s="514"/>
      <c r="B996" s="2396"/>
      <c r="C996" s="2397"/>
      <c r="D996" s="2397"/>
      <c r="E996" s="2397"/>
      <c r="F996" s="221"/>
      <c r="G996" s="532"/>
      <c r="H996" s="2010"/>
      <c r="I996" s="2010"/>
      <c r="J996" s="2012"/>
      <c r="K996" s="2011"/>
      <c r="L996" s="2011"/>
      <c r="M996" s="417"/>
      <c r="N996" s="479"/>
      <c r="R996" s="2575"/>
      <c r="S996" s="2575"/>
      <c r="T996" s="2575"/>
      <c r="U996" s="2575"/>
      <c r="V996" s="2575"/>
      <c r="W996" s="2575"/>
      <c r="X996" s="2575"/>
      <c r="Y996" s="2575"/>
      <c r="Z996" s="2575"/>
      <c r="AA996" s="2575"/>
      <c r="AB996" s="2575"/>
    </row>
    <row r="997" spans="1:28" s="165" customFormat="1" ht="15.75">
      <c r="A997" s="194">
        <v>4</v>
      </c>
      <c r="B997" s="2404" t="str">
        <f>B988</f>
        <v>Определение индивидуальных белков сыворотки крови (СРБ, С3, С4, С5, С1-ингибитор и т.д.)</v>
      </c>
      <c r="C997" s="2405"/>
      <c r="D997" s="2405"/>
      <c r="E997" s="2405"/>
      <c r="F997" s="221"/>
      <c r="G997" s="532"/>
      <c r="H997" s="2013"/>
      <c r="I997" s="2013"/>
      <c r="J997" s="2014"/>
      <c r="K997" s="2013"/>
      <c r="L997" s="2013"/>
      <c r="M997" s="417"/>
      <c r="N997" s="479"/>
      <c r="R997" s="2575"/>
      <c r="S997" s="2575"/>
      <c r="T997" s="2575"/>
      <c r="U997" s="2575"/>
      <c r="V997" s="2575"/>
      <c r="W997" s="2575"/>
      <c r="X997" s="2575"/>
      <c r="Y997" s="2575"/>
      <c r="Z997" s="2575"/>
      <c r="AA997" s="2575"/>
      <c r="AB997" s="2575"/>
    </row>
    <row r="998" spans="1:28" s="165" customFormat="1" ht="15.75">
      <c r="A998" s="194"/>
      <c r="B998" s="2404" t="str">
        <f>B989</f>
        <v>методом радиальной иммунодиффузии</v>
      </c>
      <c r="C998" s="2405"/>
      <c r="D998" s="2405"/>
      <c r="E998" s="2405"/>
      <c r="F998" s="2406"/>
      <c r="G998" s="533"/>
      <c r="H998" s="2010"/>
      <c r="I998" s="2010"/>
      <c r="J998" s="2012"/>
      <c r="K998" s="2011"/>
      <c r="L998" s="2011"/>
      <c r="M998" s="417"/>
      <c r="N998" s="479"/>
      <c r="R998" s="2575"/>
      <c r="S998" s="2575"/>
      <c r="T998" s="2575"/>
      <c r="U998" s="2575"/>
      <c r="V998" s="2575"/>
      <c r="W998" s="2575"/>
      <c r="X998" s="2575"/>
      <c r="Y998" s="2575"/>
      <c r="Z998" s="2575"/>
      <c r="AA998" s="2575"/>
      <c r="AB998" s="2575"/>
    </row>
    <row r="999" spans="1:28" s="165" customFormat="1" ht="15.75">
      <c r="A999" s="194"/>
      <c r="B999" s="2404" t="str">
        <f>B990</f>
        <v>с использованием готовых иммунодиффузионных планшет (7.16.1.2)</v>
      </c>
      <c r="C999" s="2405"/>
      <c r="D999" s="2405"/>
      <c r="E999" s="2405"/>
      <c r="F999" s="1273" t="s">
        <v>173</v>
      </c>
      <c r="G999" s="1274" t="s">
        <v>945</v>
      </c>
      <c r="H999" s="2006">
        <v>0</v>
      </c>
      <c r="I999" s="2006">
        <f>10900/10000</f>
        <v>1.09</v>
      </c>
      <c r="J999" s="2008">
        <f>КДЛ!L21</f>
        <v>2.9642</v>
      </c>
      <c r="K999" s="2009">
        <v>0</v>
      </c>
      <c r="L999" s="2009">
        <f>I999+J999</f>
        <v>4.0542</v>
      </c>
      <c r="M999" s="417"/>
      <c r="N999" s="479"/>
      <c r="R999" s="2575"/>
      <c r="S999" s="2575"/>
      <c r="T999" s="2575"/>
      <c r="U999" s="2575"/>
      <c r="V999" s="2575"/>
      <c r="W999" s="2575"/>
      <c r="X999" s="2575"/>
      <c r="Y999" s="2575"/>
      <c r="Z999" s="2575"/>
      <c r="AA999" s="2575"/>
      <c r="AB999" s="2575"/>
    </row>
    <row r="1000" spans="1:28" s="165" customFormat="1" ht="15.75">
      <c r="A1000" s="644"/>
      <c r="B1000" s="645"/>
      <c r="C1000" s="646"/>
      <c r="D1000" s="647" t="s">
        <v>919</v>
      </c>
      <c r="E1000" s="646"/>
      <c r="F1000" s="1275"/>
      <c r="G1000" s="1275"/>
      <c r="H1000" s="2015">
        <v>0</v>
      </c>
      <c r="I1000" s="2015">
        <f>SUM(I992:I999)</f>
        <v>2.39</v>
      </c>
      <c r="J1000" s="2015">
        <f>SUM(J992:J999)</f>
        <v>3.58</v>
      </c>
      <c r="K1000" s="1941">
        <v>0</v>
      </c>
      <c r="L1000" s="1941">
        <f>I1000+J1000</f>
        <v>5.970000000000001</v>
      </c>
      <c r="M1000" s="417"/>
      <c r="N1000" s="479"/>
      <c r="R1000" s="2575"/>
      <c r="S1000" s="2575"/>
      <c r="T1000" s="2575"/>
      <c r="U1000" s="2575"/>
      <c r="V1000" s="2575"/>
      <c r="W1000" s="2575"/>
      <c r="X1000" s="2575"/>
      <c r="Y1000" s="2575"/>
      <c r="Z1000" s="2575"/>
      <c r="AA1000" s="2575"/>
      <c r="AB1000" s="2575"/>
    </row>
    <row r="1001" spans="1:28" s="165" customFormat="1" ht="15.75">
      <c r="A1001" s="2418">
        <v>2</v>
      </c>
      <c r="B1001" s="2419" t="str">
        <f>B942</f>
        <v>Определение активности анти-0-стрептолизина в сыворотке крови</v>
      </c>
      <c r="C1001" s="2420"/>
      <c r="D1001" s="2420"/>
      <c r="E1001" s="2420"/>
      <c r="F1001" s="2420"/>
      <c r="G1001" s="2420"/>
      <c r="H1001" s="2420"/>
      <c r="I1001" s="2420"/>
      <c r="J1001" s="2420"/>
      <c r="K1001" s="2420"/>
      <c r="L1001" s="2421"/>
      <c r="M1001" s="417"/>
      <c r="N1001" s="479"/>
      <c r="R1001" s="2575"/>
      <c r="S1001" s="2575"/>
      <c r="T1001" s="2575"/>
      <c r="U1001" s="2575"/>
      <c r="V1001" s="2575"/>
      <c r="W1001" s="2575"/>
      <c r="X1001" s="2575"/>
      <c r="Y1001" s="2575"/>
      <c r="Z1001" s="2575"/>
      <c r="AA1001" s="2575"/>
      <c r="AB1001" s="2575"/>
    </row>
    <row r="1002" spans="1:28" s="165" customFormat="1" ht="15.75">
      <c r="A1002" s="2418"/>
      <c r="B1002" s="2371" t="str">
        <f>B943</f>
        <v>латекс-тест (7.17.2)</v>
      </c>
      <c r="C1002" s="2355"/>
      <c r="D1002" s="2355"/>
      <c r="E1002" s="2355"/>
      <c r="F1002" s="1276"/>
      <c r="G1002" s="121"/>
      <c r="H1002" s="219"/>
      <c r="I1002" s="219"/>
      <c r="J1002" s="1289"/>
      <c r="K1002" s="509"/>
      <c r="L1002" s="509"/>
      <c r="M1002" s="417"/>
      <c r="N1002" s="479"/>
      <c r="R1002" s="2575"/>
      <c r="S1002" s="2575"/>
      <c r="T1002" s="2575"/>
      <c r="U1002" s="2575"/>
      <c r="V1002" s="2575"/>
      <c r="W1002" s="2575"/>
      <c r="X1002" s="2575"/>
      <c r="Y1002" s="2575"/>
      <c r="Z1002" s="2575"/>
      <c r="AA1002" s="2575"/>
      <c r="AB1002" s="2575"/>
    </row>
    <row r="1003" spans="1:28" s="165" customFormat="1" ht="15.75">
      <c r="A1003" s="2416">
        <v>1</v>
      </c>
      <c r="B1003" s="2396" t="s">
        <v>170</v>
      </c>
      <c r="C1003" s="2397"/>
      <c r="D1003" s="2397"/>
      <c r="E1003" s="2397"/>
      <c r="F1003" s="268"/>
      <c r="G1003" s="532"/>
      <c r="H1003" s="122"/>
      <c r="I1003" s="122"/>
      <c r="J1003" s="1288"/>
      <c r="K1003" s="229"/>
      <c r="L1003" s="509"/>
      <c r="M1003" s="417"/>
      <c r="N1003" s="479"/>
      <c r="R1003" s="2575"/>
      <c r="S1003" s="2575"/>
      <c r="T1003" s="2575"/>
      <c r="U1003" s="2575"/>
      <c r="V1003" s="2575"/>
      <c r="W1003" s="2575"/>
      <c r="X1003" s="2575"/>
      <c r="Y1003" s="2575"/>
      <c r="Z1003" s="2575"/>
      <c r="AA1003" s="2575"/>
      <c r="AB1003" s="2575"/>
    </row>
    <row r="1004" spans="1:28" s="165" customFormat="1" ht="15.75">
      <c r="A1004" s="2416"/>
      <c r="B1004" s="2396"/>
      <c r="C1004" s="2397"/>
      <c r="D1004" s="2397"/>
      <c r="E1004" s="2397"/>
      <c r="F1004" s="268">
        <v>1.2</v>
      </c>
      <c r="G1004" s="1270" t="s">
        <v>869</v>
      </c>
      <c r="H1004" s="2010">
        <f>H992</f>
        <v>0</v>
      </c>
      <c r="I1004" s="2010">
        <f>I992</f>
        <v>0.47</v>
      </c>
      <c r="J1004" s="2012">
        <v>0</v>
      </c>
      <c r="K1004" s="2011">
        <f>H1004+J1004</f>
        <v>0</v>
      </c>
      <c r="L1004" s="2011">
        <f>I1004+J1004</f>
        <v>0.47</v>
      </c>
      <c r="M1004" s="417"/>
      <c r="N1004" s="479"/>
      <c r="R1004" s="2575"/>
      <c r="S1004" s="2575"/>
      <c r="T1004" s="2575"/>
      <c r="U1004" s="2575"/>
      <c r="V1004" s="2575"/>
      <c r="W1004" s="2575"/>
      <c r="X1004" s="2575"/>
      <c r="Y1004" s="2575"/>
      <c r="Z1004" s="2575"/>
      <c r="AA1004" s="2575"/>
      <c r="AB1004" s="2575"/>
    </row>
    <row r="1005" spans="1:28" s="165" customFormat="1" ht="15.75">
      <c r="A1005" s="2416"/>
      <c r="B1005" s="2396"/>
      <c r="C1005" s="2397"/>
      <c r="D1005" s="2397"/>
      <c r="E1005" s="2397"/>
      <c r="F1005" s="268"/>
      <c r="G1005" s="1270"/>
      <c r="H1005" s="2010"/>
      <c r="I1005" s="2010"/>
      <c r="J1005" s="2012"/>
      <c r="K1005" s="2011"/>
      <c r="L1005" s="2013"/>
      <c r="M1005" s="417"/>
      <c r="N1005" s="479"/>
      <c r="R1005" s="2575"/>
      <c r="S1005" s="2575"/>
      <c r="T1005" s="2575"/>
      <c r="U1005" s="2575"/>
      <c r="V1005" s="2575"/>
      <c r="W1005" s="2575"/>
      <c r="X1005" s="2575"/>
      <c r="Y1005" s="2575"/>
      <c r="Z1005" s="2575"/>
      <c r="AA1005" s="2575"/>
      <c r="AB1005" s="2575"/>
    </row>
    <row r="1006" spans="1:28" s="165" customFormat="1" ht="15.75">
      <c r="A1006" s="514">
        <v>2</v>
      </c>
      <c r="B1006" s="522" t="s">
        <v>171</v>
      </c>
      <c r="C1006" s="149"/>
      <c r="D1006" s="149"/>
      <c r="E1006" s="149"/>
      <c r="F1006" s="221">
        <v>1.4</v>
      </c>
      <c r="G1006" s="532" t="s">
        <v>873</v>
      </c>
      <c r="H1006" s="2010">
        <f aca="true" t="shared" si="84" ref="H1006:J1007">H994</f>
        <v>0</v>
      </c>
      <c r="I1006" s="2010">
        <f t="shared" si="84"/>
        <v>0.52</v>
      </c>
      <c r="J1006" s="2012">
        <f t="shared" si="84"/>
        <v>0.5331999999999999</v>
      </c>
      <c r="K1006" s="2011">
        <f>H1006+J1006</f>
        <v>0.5331999999999999</v>
      </c>
      <c r="L1006" s="2011">
        <f>I1006+J1006</f>
        <v>1.0532</v>
      </c>
      <c r="M1006" s="417"/>
      <c r="N1006" s="479"/>
      <c r="R1006" s="2575"/>
      <c r="S1006" s="2575"/>
      <c r="T1006" s="2575"/>
      <c r="U1006" s="2575"/>
      <c r="V1006" s="2575"/>
      <c r="W1006" s="2575"/>
      <c r="X1006" s="2575"/>
      <c r="Y1006" s="2575"/>
      <c r="Z1006" s="2575"/>
      <c r="AA1006" s="2575"/>
      <c r="AB1006" s="2575"/>
    </row>
    <row r="1007" spans="1:28" s="165" customFormat="1" ht="15.75">
      <c r="A1007" s="514">
        <v>3</v>
      </c>
      <c r="B1007" s="2396" t="s">
        <v>172</v>
      </c>
      <c r="C1007" s="2397"/>
      <c r="D1007" s="2397"/>
      <c r="E1007" s="2397"/>
      <c r="F1007" s="221">
        <v>1.5</v>
      </c>
      <c r="G1007" s="532" t="s">
        <v>873</v>
      </c>
      <c r="H1007" s="2010">
        <f t="shared" si="84"/>
        <v>0</v>
      </c>
      <c r="I1007" s="2010">
        <f t="shared" si="84"/>
        <v>0.31</v>
      </c>
      <c r="J1007" s="2012">
        <f t="shared" si="84"/>
        <v>0.0826</v>
      </c>
      <c r="K1007" s="2011">
        <f>H1007+J1007</f>
        <v>0.0826</v>
      </c>
      <c r="L1007" s="2011">
        <f>I1007+J1007</f>
        <v>0.3926</v>
      </c>
      <c r="M1007" s="417"/>
      <c r="N1007" s="479"/>
      <c r="R1007" s="2575"/>
      <c r="S1007" s="2575"/>
      <c r="T1007" s="2575"/>
      <c r="U1007" s="2575"/>
      <c r="V1007" s="2575"/>
      <c r="W1007" s="2575"/>
      <c r="X1007" s="2575"/>
      <c r="Y1007" s="2575"/>
      <c r="Z1007" s="2575"/>
      <c r="AA1007" s="2575"/>
      <c r="AB1007" s="2575"/>
    </row>
    <row r="1008" spans="1:28" s="165" customFormat="1" ht="15.75">
      <c r="A1008" s="514"/>
      <c r="B1008" s="2396"/>
      <c r="C1008" s="2397"/>
      <c r="D1008" s="2397"/>
      <c r="E1008" s="2397"/>
      <c r="F1008" s="221"/>
      <c r="G1008" s="532"/>
      <c r="H1008" s="2010"/>
      <c r="I1008" s="2010"/>
      <c r="J1008" s="2012"/>
      <c r="K1008" s="2011"/>
      <c r="L1008" s="2011"/>
      <c r="M1008" s="417"/>
      <c r="N1008" s="479"/>
      <c r="R1008" s="2575"/>
      <c r="S1008" s="2575"/>
      <c r="T1008" s="2575"/>
      <c r="U1008" s="2575"/>
      <c r="V1008" s="2575"/>
      <c r="W1008" s="2575"/>
      <c r="X1008" s="2575"/>
      <c r="Y1008" s="2575"/>
      <c r="Z1008" s="2575"/>
      <c r="AA1008" s="2575"/>
      <c r="AB1008" s="2575"/>
    </row>
    <row r="1009" spans="1:28" s="165" customFormat="1" ht="15.75">
      <c r="A1009" s="514"/>
      <c r="B1009" s="2396" t="str">
        <f>B1001</f>
        <v>Определение активности анти-0-стрептолизина в сыворотке крови</v>
      </c>
      <c r="C1009" s="2397"/>
      <c r="D1009" s="2397"/>
      <c r="E1009" s="2397"/>
      <c r="F1009" s="2407" t="s">
        <v>174</v>
      </c>
      <c r="G1009" s="2417" t="s">
        <v>945</v>
      </c>
      <c r="H1009" s="2415">
        <v>0</v>
      </c>
      <c r="I1009" s="2415">
        <f>2400/10000</f>
        <v>0.24</v>
      </c>
      <c r="J1009" s="2415">
        <f>КДЛ!L20</f>
        <v>1.8250999999999997</v>
      </c>
      <c r="K1009" s="2408">
        <v>0</v>
      </c>
      <c r="L1009" s="2408">
        <f>I1009+J1009</f>
        <v>2.0650999999999997</v>
      </c>
      <c r="M1009" s="417"/>
      <c r="N1009" s="479"/>
      <c r="R1009" s="2575"/>
      <c r="S1009" s="2575"/>
      <c r="T1009" s="2575"/>
      <c r="U1009" s="2575"/>
      <c r="V1009" s="2575"/>
      <c r="W1009" s="2575"/>
      <c r="X1009" s="2575"/>
      <c r="Y1009" s="2575"/>
      <c r="Z1009" s="2575"/>
      <c r="AA1009" s="2575"/>
      <c r="AB1009" s="2575"/>
    </row>
    <row r="1010" spans="1:28" s="165" customFormat="1" ht="15.75">
      <c r="A1010" s="194">
        <v>4</v>
      </c>
      <c r="B1010" s="2396"/>
      <c r="C1010" s="2397"/>
      <c r="D1010" s="2397"/>
      <c r="E1010" s="2397"/>
      <c r="F1010" s="2407"/>
      <c r="G1010" s="2417"/>
      <c r="H1010" s="2415"/>
      <c r="I1010" s="2415"/>
      <c r="J1010" s="2415"/>
      <c r="K1010" s="2408"/>
      <c r="L1010" s="2408"/>
      <c r="M1010" s="417"/>
      <c r="N1010" s="479"/>
      <c r="R1010" s="2575"/>
      <c r="S1010" s="2575"/>
      <c r="T1010" s="2575"/>
      <c r="U1010" s="2575"/>
      <c r="V1010" s="2575"/>
      <c r="W1010" s="2575"/>
      <c r="X1010" s="2575"/>
      <c r="Y1010" s="2575"/>
      <c r="Z1010" s="2575"/>
      <c r="AA1010" s="2575"/>
      <c r="AB1010" s="2575"/>
    </row>
    <row r="1011" spans="1:28" s="165" customFormat="1" ht="15.75">
      <c r="A1011" s="194"/>
      <c r="B1011" s="2396" t="str">
        <f>B1002</f>
        <v>латекс-тест (7.17.2)</v>
      </c>
      <c r="C1011" s="2397"/>
      <c r="D1011" s="2397"/>
      <c r="E1011" s="2397"/>
      <c r="F1011" s="2407"/>
      <c r="G1011" s="2417"/>
      <c r="H1011" s="2415"/>
      <c r="I1011" s="2415"/>
      <c r="J1011" s="2415"/>
      <c r="K1011" s="2408"/>
      <c r="L1011" s="2408"/>
      <c r="M1011" s="417"/>
      <c r="N1011" s="479"/>
      <c r="R1011" s="2575"/>
      <c r="S1011" s="2575"/>
      <c r="T1011" s="2575"/>
      <c r="U1011" s="2575"/>
      <c r="V1011" s="2575"/>
      <c r="W1011" s="2575"/>
      <c r="X1011" s="2575"/>
      <c r="Y1011" s="2575"/>
      <c r="Z1011" s="2575"/>
      <c r="AA1011" s="2575"/>
      <c r="AB1011" s="2575"/>
    </row>
    <row r="1012" spans="1:28" s="165" customFormat="1" ht="15.75">
      <c r="A1012" s="190"/>
      <c r="B1012" s="526"/>
      <c r="C1012" s="283"/>
      <c r="D1012" s="284" t="s">
        <v>919</v>
      </c>
      <c r="E1012" s="246"/>
      <c r="F1012" s="296"/>
      <c r="G1012" s="234"/>
      <c r="H1012" s="2016">
        <f>SUM(H1004:H1011)</f>
        <v>0</v>
      </c>
      <c r="I1012" s="2016">
        <f>SUM(I1004:I1009)</f>
        <v>1.54</v>
      </c>
      <c r="J1012" s="2016">
        <f>SUM(J1004:J1011)</f>
        <v>2.4408999999999996</v>
      </c>
      <c r="K1012" s="2016"/>
      <c r="L1012" s="2016">
        <f>SUM(L1004:L1011)</f>
        <v>3.9808999999999997</v>
      </c>
      <c r="M1012" s="417"/>
      <c r="N1012" s="479"/>
      <c r="R1012" s="2575"/>
      <c r="S1012" s="2575"/>
      <c r="T1012" s="2575"/>
      <c r="U1012" s="2575"/>
      <c r="V1012" s="2575"/>
      <c r="W1012" s="2575"/>
      <c r="X1012" s="2575"/>
      <c r="Y1012" s="2575"/>
      <c r="Z1012" s="2575"/>
      <c r="AA1012" s="2575"/>
      <c r="AB1012" s="2575"/>
    </row>
    <row r="1013" spans="1:28" s="165" customFormat="1" ht="15.75">
      <c r="A1013" s="2418">
        <v>3</v>
      </c>
      <c r="B1013" s="2419" t="str">
        <f>B945</f>
        <v>Определение ревматоидного фактора в сыворотке крови</v>
      </c>
      <c r="C1013" s="2420"/>
      <c r="D1013" s="2420"/>
      <c r="E1013" s="2420"/>
      <c r="F1013" s="2420"/>
      <c r="G1013" s="2420"/>
      <c r="H1013" s="2420"/>
      <c r="I1013" s="2420"/>
      <c r="J1013" s="2420"/>
      <c r="K1013" s="2420"/>
      <c r="L1013" s="2421"/>
      <c r="M1013" s="417"/>
      <c r="N1013" s="479"/>
      <c r="R1013" s="2575"/>
      <c r="S1013" s="2575"/>
      <c r="T1013" s="2575"/>
      <c r="U1013" s="2575"/>
      <c r="V1013" s="2575"/>
      <c r="W1013" s="2575"/>
      <c r="X1013" s="2575"/>
      <c r="Y1013" s="2575"/>
      <c r="Z1013" s="2575"/>
      <c r="AA1013" s="2575"/>
      <c r="AB1013" s="2575"/>
    </row>
    <row r="1014" spans="1:28" s="165" customFormat="1" ht="15.75">
      <c r="A1014" s="2418"/>
      <c r="B1014" s="2371" t="str">
        <f>B946</f>
        <v>латекс-тест (7.21.2)</v>
      </c>
      <c r="C1014" s="2355"/>
      <c r="D1014" s="2355"/>
      <c r="E1014" s="2355"/>
      <c r="F1014" s="1276"/>
      <c r="G1014" s="121"/>
      <c r="H1014" s="219"/>
      <c r="I1014" s="219"/>
      <c r="J1014" s="271"/>
      <c r="K1014" s="509"/>
      <c r="L1014" s="509"/>
      <c r="M1014" s="417"/>
      <c r="N1014" s="479"/>
      <c r="R1014" s="2575"/>
      <c r="S1014" s="2575"/>
      <c r="T1014" s="2575"/>
      <c r="U1014" s="2575"/>
      <c r="V1014" s="2575"/>
      <c r="W1014" s="2575"/>
      <c r="X1014" s="2575"/>
      <c r="Y1014" s="2575"/>
      <c r="Z1014" s="2575"/>
      <c r="AA1014" s="2575"/>
      <c r="AB1014" s="2575"/>
    </row>
    <row r="1015" spans="1:28" s="165" customFormat="1" ht="15.75">
      <c r="A1015" s="2416">
        <v>1</v>
      </c>
      <c r="B1015" s="2396" t="s">
        <v>170</v>
      </c>
      <c r="C1015" s="2397"/>
      <c r="D1015" s="2397"/>
      <c r="E1015" s="2397"/>
      <c r="F1015" s="268"/>
      <c r="G1015" s="532"/>
      <c r="H1015" s="122"/>
      <c r="I1015" s="122"/>
      <c r="J1015" s="1288"/>
      <c r="K1015" s="229"/>
      <c r="L1015" s="509"/>
      <c r="M1015" s="417"/>
      <c r="N1015" s="479"/>
      <c r="R1015" s="2575"/>
      <c r="S1015" s="2575"/>
      <c r="T1015" s="2575"/>
      <c r="U1015" s="2575"/>
      <c r="V1015" s="2575"/>
      <c r="W1015" s="2575"/>
      <c r="X1015" s="2575"/>
      <c r="Y1015" s="2575"/>
      <c r="Z1015" s="2575"/>
      <c r="AA1015" s="2575"/>
      <c r="AB1015" s="2575"/>
    </row>
    <row r="1016" spans="1:28" s="165" customFormat="1" ht="15.75">
      <c r="A1016" s="2416"/>
      <c r="B1016" s="2396"/>
      <c r="C1016" s="2397"/>
      <c r="D1016" s="2397"/>
      <c r="E1016" s="2397"/>
      <c r="F1016" s="268">
        <v>1.2</v>
      </c>
      <c r="G1016" s="1270" t="s">
        <v>869</v>
      </c>
      <c r="H1016" s="2010">
        <f>H1003</f>
        <v>0</v>
      </c>
      <c r="I1016" s="2010">
        <f>I1004</f>
        <v>0.47</v>
      </c>
      <c r="J1016" s="2012">
        <v>0</v>
      </c>
      <c r="K1016" s="2011">
        <f>H1016+J1016</f>
        <v>0</v>
      </c>
      <c r="L1016" s="2011">
        <f>I1016+J1016</f>
        <v>0.47</v>
      </c>
      <c r="M1016" s="417"/>
      <c r="N1016" s="479"/>
      <c r="R1016" s="2575"/>
      <c r="S1016" s="2575"/>
      <c r="T1016" s="2575"/>
      <c r="U1016" s="2575"/>
      <c r="V1016" s="2575"/>
      <c r="W1016" s="2575"/>
      <c r="X1016" s="2575"/>
      <c r="Y1016" s="2575"/>
      <c r="Z1016" s="2575"/>
      <c r="AA1016" s="2575"/>
      <c r="AB1016" s="2575"/>
    </row>
    <row r="1017" spans="1:28" s="165" customFormat="1" ht="15.75">
      <c r="A1017" s="2416"/>
      <c r="B1017" s="2396"/>
      <c r="C1017" s="2397"/>
      <c r="D1017" s="2397"/>
      <c r="E1017" s="2397"/>
      <c r="F1017" s="268"/>
      <c r="G1017" s="1270"/>
      <c r="H1017" s="2010"/>
      <c r="I1017" s="2010"/>
      <c r="J1017" s="2012"/>
      <c r="K1017" s="2011"/>
      <c r="L1017" s="2013"/>
      <c r="M1017" s="417"/>
      <c r="N1017" s="479"/>
      <c r="R1017" s="2575"/>
      <c r="S1017" s="2575"/>
      <c r="T1017" s="2575"/>
      <c r="U1017" s="2575"/>
      <c r="V1017" s="2575"/>
      <c r="W1017" s="2575"/>
      <c r="X1017" s="2575"/>
      <c r="Y1017" s="2575"/>
      <c r="Z1017" s="2575"/>
      <c r="AA1017" s="2575"/>
      <c r="AB1017" s="2575"/>
    </row>
    <row r="1018" spans="1:28" s="165" customFormat="1" ht="15.75">
      <c r="A1018" s="514">
        <v>2</v>
      </c>
      <c r="B1018" s="522" t="s">
        <v>171</v>
      </c>
      <c r="C1018" s="149"/>
      <c r="D1018" s="149"/>
      <c r="E1018" s="149"/>
      <c r="F1018" s="221">
        <v>1.4</v>
      </c>
      <c r="G1018" s="532" t="s">
        <v>873</v>
      </c>
      <c r="H1018" s="2010">
        <f>H1006</f>
        <v>0</v>
      </c>
      <c r="I1018" s="2010">
        <f>I1006</f>
        <v>0.52</v>
      </c>
      <c r="J1018" s="2012">
        <f>J1006</f>
        <v>0.5331999999999999</v>
      </c>
      <c r="K1018" s="2011">
        <f>H1018+J1018</f>
        <v>0.5331999999999999</v>
      </c>
      <c r="L1018" s="2011">
        <f>I1018+J1018</f>
        <v>1.0532</v>
      </c>
      <c r="M1018" s="417"/>
      <c r="N1018" s="479"/>
      <c r="R1018" s="2575"/>
      <c r="S1018" s="2575"/>
      <c r="T1018" s="2575"/>
      <c r="U1018" s="2575"/>
      <c r="V1018" s="2575"/>
      <c r="W1018" s="2575"/>
      <c r="X1018" s="2575"/>
      <c r="Y1018" s="2575"/>
      <c r="Z1018" s="2575"/>
      <c r="AA1018" s="2575"/>
      <c r="AB1018" s="2575"/>
    </row>
    <row r="1019" spans="1:28" s="165" customFormat="1" ht="15.75">
      <c r="A1019" s="2409">
        <v>3</v>
      </c>
      <c r="B1019" s="2396" t="s">
        <v>172</v>
      </c>
      <c r="C1019" s="2397"/>
      <c r="D1019" s="2397"/>
      <c r="E1019" s="2397"/>
      <c r="F1019" s="221">
        <v>1.5</v>
      </c>
      <c r="G1019" s="532" t="s">
        <v>873</v>
      </c>
      <c r="H1019" s="2010">
        <f>H1006</f>
        <v>0</v>
      </c>
      <c r="I1019" s="2010">
        <f>I1007</f>
        <v>0.31</v>
      </c>
      <c r="J1019" s="2012">
        <f>J1007</f>
        <v>0.0826</v>
      </c>
      <c r="K1019" s="2011">
        <f>H1019+J1019</f>
        <v>0.0826</v>
      </c>
      <c r="L1019" s="2011">
        <f>I1019+J1019</f>
        <v>0.3926</v>
      </c>
      <c r="M1019" s="417"/>
      <c r="N1019" s="479"/>
      <c r="R1019" s="2575"/>
      <c r="S1019" s="2575"/>
      <c r="T1019" s="2575"/>
      <c r="U1019" s="2575"/>
      <c r="V1019" s="2575"/>
      <c r="W1019" s="2575"/>
      <c r="X1019" s="2575"/>
      <c r="Y1019" s="2575"/>
      <c r="Z1019" s="2575"/>
      <c r="AA1019" s="2575"/>
      <c r="AB1019" s="2575"/>
    </row>
    <row r="1020" spans="1:28" s="165" customFormat="1" ht="15.75">
      <c r="A1020" s="2409"/>
      <c r="B1020" s="2396"/>
      <c r="C1020" s="2397"/>
      <c r="D1020" s="2397"/>
      <c r="E1020" s="2397"/>
      <c r="F1020" s="221"/>
      <c r="G1020" s="532"/>
      <c r="H1020" s="2010"/>
      <c r="I1020" s="2010"/>
      <c r="J1020" s="2012"/>
      <c r="K1020" s="2011"/>
      <c r="L1020" s="2011"/>
      <c r="M1020" s="417"/>
      <c r="N1020" s="479"/>
      <c r="R1020" s="2575"/>
      <c r="S1020" s="2575"/>
      <c r="T1020" s="2575"/>
      <c r="U1020" s="2575"/>
      <c r="V1020" s="2575"/>
      <c r="W1020" s="2575"/>
      <c r="X1020" s="2575"/>
      <c r="Y1020" s="2575"/>
      <c r="Z1020" s="2575"/>
      <c r="AA1020" s="2575"/>
      <c r="AB1020" s="2575"/>
    </row>
    <row r="1021" spans="1:28" s="165" customFormat="1" ht="15.75">
      <c r="A1021" s="2416">
        <v>4</v>
      </c>
      <c r="B1021" s="2396" t="str">
        <f>B1013</f>
        <v>Определение ревматоидного фактора в сыворотке крови</v>
      </c>
      <c r="C1021" s="2397"/>
      <c r="D1021" s="2397"/>
      <c r="E1021" s="2397"/>
      <c r="F1021" s="2407" t="s">
        <v>175</v>
      </c>
      <c r="G1021" s="2417" t="s">
        <v>945</v>
      </c>
      <c r="H1021" s="2415">
        <v>0</v>
      </c>
      <c r="I1021" s="2415">
        <f>3400/10000</f>
        <v>0.34</v>
      </c>
      <c r="J1021" s="2415">
        <f>КДЛ!L22</f>
        <v>1.8861999999999999</v>
      </c>
      <c r="K1021" s="2408">
        <v>0</v>
      </c>
      <c r="L1021" s="2408">
        <f>I1021+J1021</f>
        <v>2.2262</v>
      </c>
      <c r="M1021" s="417"/>
      <c r="N1021" s="479"/>
      <c r="R1021" s="2575"/>
      <c r="S1021" s="2575"/>
      <c r="T1021" s="2575"/>
      <c r="U1021" s="2575"/>
      <c r="V1021" s="2575"/>
      <c r="W1021" s="2575"/>
      <c r="X1021" s="2575"/>
      <c r="Y1021" s="2575"/>
      <c r="Z1021" s="2575"/>
      <c r="AA1021" s="2575"/>
      <c r="AB1021" s="2575"/>
    </row>
    <row r="1022" spans="1:28" s="165" customFormat="1" ht="15.75">
      <c r="A1022" s="2416"/>
      <c r="B1022" s="2396"/>
      <c r="C1022" s="2397"/>
      <c r="D1022" s="2397"/>
      <c r="E1022" s="2397"/>
      <c r="F1022" s="2407"/>
      <c r="G1022" s="2417"/>
      <c r="H1022" s="2415"/>
      <c r="I1022" s="2415"/>
      <c r="J1022" s="2415"/>
      <c r="K1022" s="2408"/>
      <c r="L1022" s="2408"/>
      <c r="M1022" s="417"/>
      <c r="N1022" s="479"/>
      <c r="R1022" s="2575"/>
      <c r="S1022" s="2575"/>
      <c r="T1022" s="2575"/>
      <c r="U1022" s="2575"/>
      <c r="V1022" s="2575"/>
      <c r="W1022" s="2575"/>
      <c r="X1022" s="2575"/>
      <c r="Y1022" s="2575"/>
      <c r="Z1022" s="2575"/>
      <c r="AA1022" s="2575"/>
      <c r="AB1022" s="2575"/>
    </row>
    <row r="1023" spans="1:28" s="165" customFormat="1" ht="15.75">
      <c r="A1023" s="2416"/>
      <c r="B1023" s="2396" t="str">
        <f>B1014</f>
        <v>латекс-тест (7.21.2)</v>
      </c>
      <c r="C1023" s="2397"/>
      <c r="D1023" s="2397"/>
      <c r="E1023" s="2397"/>
      <c r="F1023" s="2407"/>
      <c r="G1023" s="2417"/>
      <c r="H1023" s="2415"/>
      <c r="I1023" s="2415"/>
      <c r="J1023" s="2415"/>
      <c r="K1023" s="2408"/>
      <c r="L1023" s="2408"/>
      <c r="M1023" s="417"/>
      <c r="N1023" s="479"/>
      <c r="R1023" s="2575"/>
      <c r="S1023" s="2575"/>
      <c r="T1023" s="2575"/>
      <c r="U1023" s="2575"/>
      <c r="V1023" s="2575"/>
      <c r="W1023" s="2575"/>
      <c r="X1023" s="2575"/>
      <c r="Y1023" s="2575"/>
      <c r="Z1023" s="2575"/>
      <c r="AA1023" s="2575"/>
      <c r="AB1023" s="2575"/>
    </row>
    <row r="1024" spans="1:28" s="165" customFormat="1" ht="18.75">
      <c r="A1024" s="190"/>
      <c r="B1024" s="526"/>
      <c r="C1024" s="283"/>
      <c r="D1024" s="284" t="s">
        <v>919</v>
      </c>
      <c r="E1024" s="283"/>
      <c r="F1024" s="1277"/>
      <c r="G1024" s="1278"/>
      <c r="H1024" s="2016">
        <f>SUM(H1014:H1023)</f>
        <v>0</v>
      </c>
      <c r="I1024" s="2016">
        <f>SUM(I1014:I1023)</f>
        <v>1.6400000000000001</v>
      </c>
      <c r="J1024" s="2017">
        <f>SUM(J1014:J1023)</f>
        <v>2.502</v>
      </c>
      <c r="K1024" s="2016"/>
      <c r="L1024" s="2016">
        <f>SUM(L1014:L1023)</f>
        <v>4.1419999999999995</v>
      </c>
      <c r="M1024" s="417"/>
      <c r="N1024" s="479"/>
      <c r="R1024" s="2575"/>
      <c r="S1024" s="2575"/>
      <c r="T1024" s="2575"/>
      <c r="U1024" s="2575"/>
      <c r="V1024" s="2575"/>
      <c r="W1024" s="2575"/>
      <c r="X1024" s="2575"/>
      <c r="Y1024" s="2575"/>
      <c r="Z1024" s="2575"/>
      <c r="AA1024" s="2575"/>
      <c r="AB1024" s="2575"/>
    </row>
    <row r="1025" spans="1:28" s="165" customFormat="1" ht="15.75">
      <c r="A1025" s="214">
        <v>4</v>
      </c>
      <c r="B1025" s="289" t="str">
        <f>B949</f>
        <v>Гликозированный гемоглобин</v>
      </c>
      <c r="C1025" s="243"/>
      <c r="D1025" s="243"/>
      <c r="E1025" s="243"/>
      <c r="F1025" s="1279"/>
      <c r="G1025" s="122"/>
      <c r="H1025" s="219"/>
      <c r="I1025" s="219"/>
      <c r="J1025" s="1289"/>
      <c r="K1025" s="509"/>
      <c r="L1025" s="509"/>
      <c r="M1025" s="417"/>
      <c r="N1025" s="479"/>
      <c r="R1025" s="2575"/>
      <c r="S1025" s="2575"/>
      <c r="T1025" s="2575"/>
      <c r="U1025" s="2575"/>
      <c r="V1025" s="2575"/>
      <c r="W1025" s="2575"/>
      <c r="X1025" s="2575"/>
      <c r="Y1025" s="2575"/>
      <c r="Z1025" s="2575"/>
      <c r="AA1025" s="2575"/>
      <c r="AB1025" s="2575"/>
    </row>
    <row r="1026" spans="1:28" s="165" customFormat="1" ht="15.75">
      <c r="A1026" s="2416">
        <v>1</v>
      </c>
      <c r="B1026" s="2396" t="s">
        <v>170</v>
      </c>
      <c r="C1026" s="2397"/>
      <c r="D1026" s="2397"/>
      <c r="E1026" s="2397"/>
      <c r="F1026" s="268"/>
      <c r="G1026" s="216"/>
      <c r="H1026" s="2010"/>
      <c r="I1026" s="2010"/>
      <c r="J1026" s="2012"/>
      <c r="K1026" s="2019"/>
      <c r="L1026" s="2013"/>
      <c r="M1026" s="417"/>
      <c r="N1026" s="479"/>
      <c r="R1026" s="2575"/>
      <c r="S1026" s="2575"/>
      <c r="T1026" s="2575"/>
      <c r="U1026" s="2575"/>
      <c r="V1026" s="2575"/>
      <c r="W1026" s="2575"/>
      <c r="X1026" s="2575"/>
      <c r="Y1026" s="2575"/>
      <c r="Z1026" s="2575"/>
      <c r="AA1026" s="2575"/>
      <c r="AB1026" s="2575"/>
    </row>
    <row r="1027" spans="1:28" s="165" customFormat="1" ht="15.75">
      <c r="A1027" s="2416"/>
      <c r="B1027" s="2396"/>
      <c r="C1027" s="2397"/>
      <c r="D1027" s="2397"/>
      <c r="E1027" s="2397"/>
      <c r="F1027" s="268">
        <v>1.2</v>
      </c>
      <c r="G1027" s="1270" t="s">
        <v>869</v>
      </c>
      <c r="H1027" s="2010">
        <f>J23</f>
        <v>0.47</v>
      </c>
      <c r="I1027" s="1964">
        <f>I1016</f>
        <v>0.47</v>
      </c>
      <c r="J1027" s="2012">
        <v>0</v>
      </c>
      <c r="K1027" s="2011">
        <f>H1027+J1027</f>
        <v>0.47</v>
      </c>
      <c r="L1027" s="2011">
        <f>I1027+J1027</f>
        <v>0.47</v>
      </c>
      <c r="M1027" s="417"/>
      <c r="N1027" s="479"/>
      <c r="R1027" s="2575"/>
      <c r="S1027" s="2575"/>
      <c r="T1027" s="2575"/>
      <c r="U1027" s="2575"/>
      <c r="V1027" s="2575"/>
      <c r="W1027" s="2575"/>
      <c r="X1027" s="2575"/>
      <c r="Y1027" s="2575"/>
      <c r="Z1027" s="2575"/>
      <c r="AA1027" s="2575"/>
      <c r="AB1027" s="2575"/>
    </row>
    <row r="1028" spans="1:28" s="165" customFormat="1" ht="15.75">
      <c r="A1028" s="2416"/>
      <c r="B1028" s="2396"/>
      <c r="C1028" s="2397"/>
      <c r="D1028" s="2397"/>
      <c r="E1028" s="2397"/>
      <c r="F1028" s="268"/>
      <c r="G1028" s="1270"/>
      <c r="H1028" s="2010"/>
      <c r="I1028" s="2010"/>
      <c r="J1028" s="2012"/>
      <c r="K1028" s="2011"/>
      <c r="L1028" s="2013"/>
      <c r="M1028" s="417"/>
      <c r="N1028" s="479"/>
      <c r="R1028" s="2575"/>
      <c r="S1028" s="2575"/>
      <c r="T1028" s="2575"/>
      <c r="U1028" s="2575"/>
      <c r="V1028" s="2575"/>
      <c r="W1028" s="2575"/>
      <c r="X1028" s="2575"/>
      <c r="Y1028" s="2575"/>
      <c r="Z1028" s="2575"/>
      <c r="AA1028" s="2575"/>
      <c r="AB1028" s="2575"/>
    </row>
    <row r="1029" spans="1:28" s="165" customFormat="1" ht="15.75">
      <c r="A1029" s="2416">
        <v>2</v>
      </c>
      <c r="B1029" s="2396" t="s">
        <v>177</v>
      </c>
      <c r="C1029" s="2397"/>
      <c r="D1029" s="2397"/>
      <c r="E1029" s="2397"/>
      <c r="F1029" s="286"/>
      <c r="G1029" s="225"/>
      <c r="H1029" s="2010"/>
      <c r="I1029" s="1964"/>
      <c r="J1029" s="2012"/>
      <c r="K1029" s="2011"/>
      <c r="L1029" s="2011"/>
      <c r="M1029" s="417"/>
      <c r="N1029" s="479"/>
      <c r="R1029" s="2575"/>
      <c r="S1029" s="2575"/>
      <c r="T1029" s="2575"/>
      <c r="U1029" s="2575"/>
      <c r="V1029" s="2575"/>
      <c r="W1029" s="2575"/>
      <c r="X1029" s="2575"/>
      <c r="Y1029" s="2575"/>
      <c r="Z1029" s="2575"/>
      <c r="AA1029" s="2575"/>
      <c r="AB1029" s="2575"/>
    </row>
    <row r="1030" spans="1:28" s="165" customFormat="1" ht="15.75">
      <c r="A1030" s="2416"/>
      <c r="B1030" s="2396"/>
      <c r="C1030" s="2397"/>
      <c r="D1030" s="2397"/>
      <c r="E1030" s="2397"/>
      <c r="F1030" s="268" t="s">
        <v>260</v>
      </c>
      <c r="G1030" s="216" t="s">
        <v>873</v>
      </c>
      <c r="H1030" s="2010">
        <f>J26</f>
        <v>0.2</v>
      </c>
      <c r="I1030" s="2010">
        <f>K26</f>
        <v>0.2</v>
      </c>
      <c r="J1030" s="2010">
        <f>L26</f>
        <v>0.0954</v>
      </c>
      <c r="K1030" s="2011">
        <f>H1030+J1030</f>
        <v>0.2954</v>
      </c>
      <c r="L1030" s="2011">
        <f>I1030+J1030</f>
        <v>0.2954</v>
      </c>
      <c r="M1030" s="417"/>
      <c r="N1030" s="479"/>
      <c r="R1030" s="2575"/>
      <c r="S1030" s="2575"/>
      <c r="T1030" s="2575"/>
      <c r="U1030" s="2575"/>
      <c r="V1030" s="2575"/>
      <c r="W1030" s="2575"/>
      <c r="X1030" s="2575"/>
      <c r="Y1030" s="2575"/>
      <c r="Z1030" s="2575"/>
      <c r="AA1030" s="2575"/>
      <c r="AB1030" s="2575"/>
    </row>
    <row r="1031" spans="1:28" s="165" customFormat="1" ht="27" customHeight="1">
      <c r="A1031" s="2416"/>
      <c r="B1031" s="2396"/>
      <c r="C1031" s="2397"/>
      <c r="D1031" s="2397"/>
      <c r="E1031" s="2397"/>
      <c r="F1031" s="1280"/>
      <c r="G1031" s="225"/>
      <c r="H1031" s="2010"/>
      <c r="I1031" s="1964"/>
      <c r="J1031" s="2012"/>
      <c r="K1031" s="2011"/>
      <c r="L1031" s="2011"/>
      <c r="M1031" s="417"/>
      <c r="N1031" s="479"/>
      <c r="R1031" s="2575"/>
      <c r="S1031" s="2575"/>
      <c r="T1031" s="2575"/>
      <c r="U1031" s="2575"/>
      <c r="V1031" s="2575"/>
      <c r="W1031" s="2575"/>
      <c r="X1031" s="2575"/>
      <c r="Y1031" s="2575"/>
      <c r="Z1031" s="2575"/>
      <c r="AA1031" s="2575"/>
      <c r="AB1031" s="2575"/>
    </row>
    <row r="1032" spans="1:28" s="165" customFormat="1" ht="15.75">
      <c r="A1032" s="187">
        <v>3</v>
      </c>
      <c r="B1032" s="2396" t="str">
        <f>B1025</f>
        <v>Гликозированный гемоглобин</v>
      </c>
      <c r="C1032" s="2397"/>
      <c r="D1032" s="2397"/>
      <c r="E1032" s="2397"/>
      <c r="F1032" s="286"/>
      <c r="G1032" s="225" t="s">
        <v>573</v>
      </c>
      <c r="H1032" s="2010">
        <f>22100/10000</f>
        <v>2.21</v>
      </c>
      <c r="I1032" s="2010">
        <f>13000/10000</f>
        <v>1.3</v>
      </c>
      <c r="J1032" s="2010">
        <f>КДЛ!L23</f>
        <v>10.408499999999998</v>
      </c>
      <c r="K1032" s="2011">
        <f>H1032+J1032</f>
        <v>12.618499999999997</v>
      </c>
      <c r="L1032" s="2011">
        <f>I1032+J1032</f>
        <v>11.708499999999999</v>
      </c>
      <c r="M1032" s="417"/>
      <c r="N1032" s="479"/>
      <c r="R1032" s="2575"/>
      <c r="S1032" s="2575"/>
      <c r="T1032" s="2575"/>
      <c r="U1032" s="2575"/>
      <c r="V1032" s="2575"/>
      <c r="W1032" s="2575"/>
      <c r="X1032" s="2575"/>
      <c r="Y1032" s="2575"/>
      <c r="Z1032" s="2575"/>
      <c r="AA1032" s="2575"/>
      <c r="AB1032" s="2575"/>
    </row>
    <row r="1033" spans="1:28" s="165" customFormat="1" ht="15.75">
      <c r="A1033" s="187"/>
      <c r="B1033" s="242"/>
      <c r="C1033" s="242"/>
      <c r="D1033" s="242"/>
      <c r="E1033" s="242"/>
      <c r="F1033" s="286"/>
      <c r="G1033" s="225"/>
      <c r="H1033" s="2010"/>
      <c r="I1033" s="2010"/>
      <c r="J1033" s="2012"/>
      <c r="K1033" s="2011"/>
      <c r="L1033" s="2011"/>
      <c r="M1033" s="417"/>
      <c r="N1033" s="479"/>
      <c r="R1033" s="2575"/>
      <c r="S1033" s="2575"/>
      <c r="T1033" s="2575"/>
      <c r="U1033" s="2575"/>
      <c r="V1033" s="2575"/>
      <c r="W1033" s="2575"/>
      <c r="X1033" s="2575"/>
      <c r="Y1033" s="2575"/>
      <c r="Z1033" s="2575"/>
      <c r="AA1033" s="2575"/>
      <c r="AB1033" s="2575"/>
    </row>
    <row r="1034" spans="1:28" s="165" customFormat="1" ht="15.75">
      <c r="A1034" s="233"/>
      <c r="B1034" s="246"/>
      <c r="C1034" s="246"/>
      <c r="D1034" s="284" t="s">
        <v>919</v>
      </c>
      <c r="E1034" s="283"/>
      <c r="F1034" s="288"/>
      <c r="G1034" s="120"/>
      <c r="H1034" s="2018">
        <f>SUM(H1027:H1033)</f>
        <v>2.88</v>
      </c>
      <c r="I1034" s="2018">
        <f>SUM(I1027:I1033)</f>
        <v>1.97</v>
      </c>
      <c r="J1034" s="2018">
        <f>SUM(J1027:J1033)</f>
        <v>10.503899999999998</v>
      </c>
      <c r="K1034" s="2018">
        <f>SUM(K1027:K1033)</f>
        <v>13.383899999999997</v>
      </c>
      <c r="L1034" s="2018">
        <f>SUM(L1027:L1033)</f>
        <v>12.473899999999999</v>
      </c>
      <c r="M1034" s="417"/>
      <c r="N1034" s="479"/>
      <c r="R1034" s="2575"/>
      <c r="S1034" s="2575"/>
      <c r="T1034" s="2575"/>
      <c r="U1034" s="2575"/>
      <c r="V1034" s="2575"/>
      <c r="W1034" s="2575"/>
      <c r="X1034" s="2575"/>
      <c r="Y1034" s="2575"/>
      <c r="Z1034" s="2575"/>
      <c r="AA1034" s="2575"/>
      <c r="AB1034" s="2575"/>
    </row>
    <row r="1035" spans="1:28" s="165" customFormat="1" ht="15.75">
      <c r="A1035"/>
      <c r="B1035"/>
      <c r="C1035"/>
      <c r="D1035"/>
      <c r="E1035"/>
      <c r="F1035"/>
      <c r="G1035"/>
      <c r="H1035"/>
      <c r="I1035"/>
      <c r="J1035"/>
      <c r="K1035"/>
      <c r="L1035"/>
      <c r="M1035" s="417"/>
      <c r="N1035" s="479"/>
      <c r="R1035" s="2575"/>
      <c r="S1035" s="2575"/>
      <c r="T1035" s="2575"/>
      <c r="U1035" s="2575"/>
      <c r="V1035" s="2575"/>
      <c r="W1035" s="2575"/>
      <c r="X1035" s="2575"/>
      <c r="Y1035" s="2575"/>
      <c r="Z1035" s="2575"/>
      <c r="AA1035" s="2575"/>
      <c r="AB1035" s="2575"/>
    </row>
    <row r="1036" spans="1:14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 s="415"/>
      <c r="N1036" s="415"/>
    </row>
    <row r="1037" spans="1:14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 s="415"/>
      <c r="N1037" s="415"/>
    </row>
    <row r="1038" spans="1:14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 s="415"/>
      <c r="N1038" s="415"/>
    </row>
    <row r="1039" spans="1:14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 s="415"/>
      <c r="N1039" s="415"/>
    </row>
    <row r="1040" spans="1:14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 s="415"/>
      <c r="N1040" s="415"/>
    </row>
    <row r="1041" spans="1:14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 s="415"/>
      <c r="N1041" s="415"/>
    </row>
    <row r="1042" spans="1:14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 s="415"/>
      <c r="N1042" s="415"/>
    </row>
    <row r="1043" spans="1:14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 s="415"/>
      <c r="N1043" s="415"/>
    </row>
    <row r="1044" spans="1:14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 s="415"/>
      <c r="N1044" s="415"/>
    </row>
    <row r="1045" spans="1:14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 s="415"/>
      <c r="N1045" s="415"/>
    </row>
    <row r="1046" spans="1:12" ht="12.7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12.7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12.7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12.7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12.7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12.7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12.7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12.7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12.7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12.7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12.7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12.7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12.7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12.7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12.7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12.7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12.7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12.75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12.75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12.75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12.75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12.75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12.75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12.75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12.7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12.7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12.75">
      <c r="A1072"/>
      <c r="B1072"/>
      <c r="C1072"/>
      <c r="D1072"/>
      <c r="E1072"/>
      <c r="F1072"/>
      <c r="G1072"/>
      <c r="H1072"/>
      <c r="I1072"/>
      <c r="J1072"/>
      <c r="K1072"/>
      <c r="L1072"/>
    </row>
  </sheetData>
  <sheetProtection/>
  <mergeCells count="441">
    <mergeCell ref="BF552:BG552"/>
    <mergeCell ref="B93:G94"/>
    <mergeCell ref="B165:F165"/>
    <mergeCell ref="B177:G177"/>
    <mergeCell ref="F176:G176"/>
    <mergeCell ref="F175:G175"/>
    <mergeCell ref="G99:H99"/>
    <mergeCell ref="G101:H101"/>
    <mergeCell ref="B118:H118"/>
    <mergeCell ref="F170:G170"/>
    <mergeCell ref="B808:G809"/>
    <mergeCell ref="M855:P856"/>
    <mergeCell ref="O932:P932"/>
    <mergeCell ref="DE554:DF554"/>
    <mergeCell ref="CA554:CB554"/>
    <mergeCell ref="CO554:CP554"/>
    <mergeCell ref="CQ554:CR554"/>
    <mergeCell ref="M682:N682"/>
    <mergeCell ref="O554:P554"/>
    <mergeCell ref="AW552:AW558"/>
    <mergeCell ref="IG552:IG558"/>
    <mergeCell ref="HZ552:IA552"/>
    <mergeCell ref="A854:A860"/>
    <mergeCell ref="M854:P854"/>
    <mergeCell ref="BY554:BZ554"/>
    <mergeCell ref="AU554:AV554"/>
    <mergeCell ref="A850:P850"/>
    <mergeCell ref="A851:P851"/>
    <mergeCell ref="J682:K682"/>
    <mergeCell ref="B795:G796"/>
    <mergeCell ref="HZ553:IA553"/>
    <mergeCell ref="HM552:HP552"/>
    <mergeCell ref="IU554:IV554"/>
    <mergeCell ref="IC554:ID554"/>
    <mergeCell ref="HA552:HA558"/>
    <mergeCell ref="IS552:IV552"/>
    <mergeCell ref="IC553:IF553"/>
    <mergeCell ref="IP553:IQ553"/>
    <mergeCell ref="IS553:IV553"/>
    <mergeCell ref="IC552:IF552"/>
    <mergeCell ref="GG553:GJ553"/>
    <mergeCell ref="GI554:GJ554"/>
    <mergeCell ref="HM553:HP553"/>
    <mergeCell ref="HM554:HN554"/>
    <mergeCell ref="GT553:GU553"/>
    <mergeCell ref="IS554:IT554"/>
    <mergeCell ref="HO554:HP554"/>
    <mergeCell ref="IE554:IF554"/>
    <mergeCell ref="HQ552:HQ558"/>
    <mergeCell ref="IP552:IQ552"/>
    <mergeCell ref="BI552:BL552"/>
    <mergeCell ref="BI554:BJ554"/>
    <mergeCell ref="HJ553:HK553"/>
    <mergeCell ref="DR553:DS553"/>
    <mergeCell ref="FQ553:FT553"/>
    <mergeCell ref="DU553:DX553"/>
    <mergeCell ref="DY552:DY558"/>
    <mergeCell ref="DU552:DX552"/>
    <mergeCell ref="FA553:FD553"/>
    <mergeCell ref="FN553:FO553"/>
    <mergeCell ref="EH553:EI553"/>
    <mergeCell ref="EH552:EI552"/>
    <mergeCell ref="BF553:BG553"/>
    <mergeCell ref="BY553:CB553"/>
    <mergeCell ref="BY552:CB552"/>
    <mergeCell ref="CC552:CC558"/>
    <mergeCell ref="BM552:BM558"/>
    <mergeCell ref="BV552:BW552"/>
    <mergeCell ref="BI553:BL553"/>
    <mergeCell ref="BV553:BW553"/>
    <mergeCell ref="BK554:BL554"/>
    <mergeCell ref="GW552:GZ552"/>
    <mergeCell ref="GT552:GU552"/>
    <mergeCell ref="FA554:FB554"/>
    <mergeCell ref="FC554:FD554"/>
    <mergeCell ref="GD553:GE553"/>
    <mergeCell ref="FN552:FO552"/>
    <mergeCell ref="GY554:GZ554"/>
    <mergeCell ref="GG554:GH554"/>
    <mergeCell ref="FE552:FE558"/>
    <mergeCell ref="FA552:FD552"/>
    <mergeCell ref="EK552:EN552"/>
    <mergeCell ref="EM554:EN554"/>
    <mergeCell ref="EK553:EN553"/>
    <mergeCell ref="EX552:EY552"/>
    <mergeCell ref="EO552:EO558"/>
    <mergeCell ref="EX553:EY553"/>
    <mergeCell ref="CO552:CR552"/>
    <mergeCell ref="DU554:DV554"/>
    <mergeCell ref="DB552:DC552"/>
    <mergeCell ref="CS552:CS558"/>
    <mergeCell ref="CO553:CR553"/>
    <mergeCell ref="DR552:DS552"/>
    <mergeCell ref="CL553:CM553"/>
    <mergeCell ref="EK554:EL554"/>
    <mergeCell ref="FS554:FT554"/>
    <mergeCell ref="DG554:DH554"/>
    <mergeCell ref="DI552:DI558"/>
    <mergeCell ref="DE553:DH553"/>
    <mergeCell ref="DB553:DC553"/>
    <mergeCell ref="DE552:DH552"/>
    <mergeCell ref="CL552:CM552"/>
    <mergeCell ref="DW554:DX554"/>
    <mergeCell ref="AS553:AV553"/>
    <mergeCell ref="HJ552:HK552"/>
    <mergeCell ref="GW553:GZ553"/>
    <mergeCell ref="FQ552:FT552"/>
    <mergeCell ref="FU552:FU558"/>
    <mergeCell ref="GD552:GE552"/>
    <mergeCell ref="GG552:GJ552"/>
    <mergeCell ref="GK552:GK558"/>
    <mergeCell ref="GW554:GX554"/>
    <mergeCell ref="FQ554:FR554"/>
    <mergeCell ref="B716:G717"/>
    <mergeCell ref="B740:G742"/>
    <mergeCell ref="B732:G734"/>
    <mergeCell ref="F721:G721"/>
    <mergeCell ref="F723:G723"/>
    <mergeCell ref="AS554:AT554"/>
    <mergeCell ref="B777:G780"/>
    <mergeCell ref="B764:G767"/>
    <mergeCell ref="B749:G751"/>
    <mergeCell ref="B745:G748"/>
    <mergeCell ref="B728:G731"/>
    <mergeCell ref="B757:G758"/>
    <mergeCell ref="B759:G761"/>
    <mergeCell ref="B768:G770"/>
    <mergeCell ref="B803:G806"/>
    <mergeCell ref="B797:G798"/>
    <mergeCell ref="Q552:Q558"/>
    <mergeCell ref="B773:G774"/>
    <mergeCell ref="B800:G802"/>
    <mergeCell ref="F724:G724"/>
    <mergeCell ref="F725:G725"/>
    <mergeCell ref="B781:G782"/>
    <mergeCell ref="B790:G793"/>
    <mergeCell ref="B738:G739"/>
    <mergeCell ref="AC552:AF552"/>
    <mergeCell ref="Z553:AA553"/>
    <mergeCell ref="AC553:AF553"/>
    <mergeCell ref="AS552:AV552"/>
    <mergeCell ref="AP553:AQ553"/>
    <mergeCell ref="AG552:AG558"/>
    <mergeCell ref="AP552:AQ552"/>
    <mergeCell ref="AC554:AD554"/>
    <mergeCell ref="Z552:AA552"/>
    <mergeCell ref="AE554:AF554"/>
    <mergeCell ref="A1015:A1017"/>
    <mergeCell ref="L1009:L1011"/>
    <mergeCell ref="B1003:E1005"/>
    <mergeCell ref="B1001:L1001"/>
    <mergeCell ref="I1009:I1011"/>
    <mergeCell ref="J1009:J1011"/>
    <mergeCell ref="H1009:H1011"/>
    <mergeCell ref="B1009:E1010"/>
    <mergeCell ref="F1009:F1011"/>
    <mergeCell ref="B1011:E1011"/>
    <mergeCell ref="B1032:E1032"/>
    <mergeCell ref="J1021:J1023"/>
    <mergeCell ref="B1026:E1028"/>
    <mergeCell ref="A1001:A1002"/>
    <mergeCell ref="A1003:A1005"/>
    <mergeCell ref="G1009:G1011"/>
    <mergeCell ref="A1013:A1014"/>
    <mergeCell ref="B1013:L1013"/>
    <mergeCell ref="B1014:E1014"/>
    <mergeCell ref="B1007:E1008"/>
    <mergeCell ref="I1021:I1023"/>
    <mergeCell ref="A1029:A1031"/>
    <mergeCell ref="B1029:E1031"/>
    <mergeCell ref="A1026:A1028"/>
    <mergeCell ref="A1021:A1023"/>
    <mergeCell ref="G1021:G1023"/>
    <mergeCell ref="H1021:H1023"/>
    <mergeCell ref="B1021:E1022"/>
    <mergeCell ref="K1021:K1023"/>
    <mergeCell ref="B946:H946"/>
    <mergeCell ref="A1019:A1020"/>
    <mergeCell ref="B995:E996"/>
    <mergeCell ref="B984:E985"/>
    <mergeCell ref="B988:L988"/>
    <mergeCell ref="B989:L989"/>
    <mergeCell ref="K1009:K1011"/>
    <mergeCell ref="B1002:E1002"/>
    <mergeCell ref="L1021:L1023"/>
    <mergeCell ref="B1019:E1020"/>
    <mergeCell ref="B997:E997"/>
    <mergeCell ref="B998:F998"/>
    <mergeCell ref="B999:E999"/>
    <mergeCell ref="B1015:E1017"/>
    <mergeCell ref="F1021:F1023"/>
    <mergeCell ref="B1023:E1023"/>
    <mergeCell ref="B889:H891"/>
    <mergeCell ref="A930:A936"/>
    <mergeCell ref="B990:L990"/>
    <mergeCell ref="B991:E993"/>
    <mergeCell ref="K984:L984"/>
    <mergeCell ref="B939:H939"/>
    <mergeCell ref="B938:H938"/>
    <mergeCell ref="J931:K931"/>
    <mergeCell ref="K983:L983"/>
    <mergeCell ref="A980:L980"/>
    <mergeCell ref="F893:H893"/>
    <mergeCell ref="G871:H871"/>
    <mergeCell ref="M931:P931"/>
    <mergeCell ref="M932:N932"/>
    <mergeCell ref="J930:K930"/>
    <mergeCell ref="B940:H940"/>
    <mergeCell ref="M930:P930"/>
    <mergeCell ref="G872:H872"/>
    <mergeCell ref="F892:H892"/>
    <mergeCell ref="G873:H873"/>
    <mergeCell ref="B942:H942"/>
    <mergeCell ref="H982:I982"/>
    <mergeCell ref="K982:L982"/>
    <mergeCell ref="B943:H943"/>
    <mergeCell ref="B945:H945"/>
    <mergeCell ref="A924:P924"/>
    <mergeCell ref="A925:P925"/>
    <mergeCell ref="H981:I981"/>
    <mergeCell ref="B869:H870"/>
    <mergeCell ref="G868:H868"/>
    <mergeCell ref="J854:K854"/>
    <mergeCell ref="J855:K855"/>
    <mergeCell ref="B810:G812"/>
    <mergeCell ref="E813:G813"/>
    <mergeCell ref="A849:P849"/>
    <mergeCell ref="E814:G814"/>
    <mergeCell ref="E817:G817"/>
    <mergeCell ref="E816:G816"/>
    <mergeCell ref="B696:G697"/>
    <mergeCell ref="G638:H638"/>
    <mergeCell ref="G635:H635"/>
    <mergeCell ref="B667:H669"/>
    <mergeCell ref="B637:H637"/>
    <mergeCell ref="B638:E638"/>
    <mergeCell ref="B656:H658"/>
    <mergeCell ref="B659:H661"/>
    <mergeCell ref="B650:H651"/>
    <mergeCell ref="B653:H653"/>
    <mergeCell ref="M684:N684"/>
    <mergeCell ref="G640:H640"/>
    <mergeCell ref="B642:H643"/>
    <mergeCell ref="B644:H645"/>
    <mergeCell ref="B646:H646"/>
    <mergeCell ref="B647:H648"/>
    <mergeCell ref="B649:H649"/>
    <mergeCell ref="M683:N683"/>
    <mergeCell ref="B662:H664"/>
    <mergeCell ref="B654:H654"/>
    <mergeCell ref="F604:H604"/>
    <mergeCell ref="F605:H605"/>
    <mergeCell ref="B592:H593"/>
    <mergeCell ref="B596:H597"/>
    <mergeCell ref="B598:H599"/>
    <mergeCell ref="J683:K683"/>
    <mergeCell ref="B630:H631"/>
    <mergeCell ref="G636:H636"/>
    <mergeCell ref="B632:G634"/>
    <mergeCell ref="G639:H639"/>
    <mergeCell ref="B711:G714"/>
    <mergeCell ref="B671:H671"/>
    <mergeCell ref="B691:G694"/>
    <mergeCell ref="B718:F719"/>
    <mergeCell ref="B709:G710"/>
    <mergeCell ref="B561:H563"/>
    <mergeCell ref="B564:H565"/>
    <mergeCell ref="B566:H568"/>
    <mergeCell ref="B623:H624"/>
    <mergeCell ref="B608:H609"/>
    <mergeCell ref="B629:H629"/>
    <mergeCell ref="B606:H607"/>
    <mergeCell ref="B627:H628"/>
    <mergeCell ref="B618:H619"/>
    <mergeCell ref="B620:H621"/>
    <mergeCell ref="B610:H610"/>
    <mergeCell ref="B611:H612"/>
    <mergeCell ref="B616:H617"/>
    <mergeCell ref="B602:H603"/>
    <mergeCell ref="A548:N548"/>
    <mergeCell ref="B590:H591"/>
    <mergeCell ref="J552:K552"/>
    <mergeCell ref="A552:A558"/>
    <mergeCell ref="A549:N549"/>
    <mergeCell ref="J553:K553"/>
    <mergeCell ref="M554:N554"/>
    <mergeCell ref="M552:P552"/>
    <mergeCell ref="M553:P553"/>
    <mergeCell ref="B573:H574"/>
    <mergeCell ref="F434:G434"/>
    <mergeCell ref="B99:E99"/>
    <mergeCell ref="B426:G429"/>
    <mergeCell ref="E282:G282"/>
    <mergeCell ref="B244:G247"/>
    <mergeCell ref="B278:G280"/>
    <mergeCell ref="E281:G281"/>
    <mergeCell ref="B248:G249"/>
    <mergeCell ref="B265:G266"/>
    <mergeCell ref="A545:N545"/>
    <mergeCell ref="M484:N484"/>
    <mergeCell ref="I483:I491"/>
    <mergeCell ref="J483:K483"/>
    <mergeCell ref="M485:N485"/>
    <mergeCell ref="L483:L490"/>
    <mergeCell ref="J484:K484"/>
    <mergeCell ref="M486:M490"/>
    <mergeCell ref="J485:J490"/>
    <mergeCell ref="G505:H505"/>
    <mergeCell ref="B271:G274"/>
    <mergeCell ref="B276:G277"/>
    <mergeCell ref="B216:G218"/>
    <mergeCell ref="B224:G225"/>
    <mergeCell ref="B231:G234"/>
    <mergeCell ref="B268:G270"/>
    <mergeCell ref="B258:G261"/>
    <mergeCell ref="J322:K322"/>
    <mergeCell ref="M323:N323"/>
    <mergeCell ref="F188:G188"/>
    <mergeCell ref="B205:G206"/>
    <mergeCell ref="F190:G190"/>
    <mergeCell ref="M483:N483"/>
    <mergeCell ref="B195:G198"/>
    <mergeCell ref="B199:G201"/>
    <mergeCell ref="F192:G192"/>
    <mergeCell ref="B235:G237"/>
    <mergeCell ref="B158:G161"/>
    <mergeCell ref="B163:G164"/>
    <mergeCell ref="B178:G181"/>
    <mergeCell ref="F360:H360"/>
    <mergeCell ref="G340:H340"/>
    <mergeCell ref="A316:P316"/>
    <mergeCell ref="A317:P317"/>
    <mergeCell ref="A318:P318"/>
    <mergeCell ref="G335:H335"/>
    <mergeCell ref="O323:P323"/>
    <mergeCell ref="O15:P15"/>
    <mergeCell ref="M13:P13"/>
    <mergeCell ref="I394:I399"/>
    <mergeCell ref="B51:H52"/>
    <mergeCell ref="B27:H29"/>
    <mergeCell ref="B263:G264"/>
    <mergeCell ref="B240:G241"/>
    <mergeCell ref="B226:G228"/>
    <mergeCell ref="B88:H89"/>
    <mergeCell ref="F191:G191"/>
    <mergeCell ref="B502:H503"/>
    <mergeCell ref="G504:H504"/>
    <mergeCell ref="F438:G438"/>
    <mergeCell ref="F439:G439"/>
    <mergeCell ref="Z13:AA14"/>
    <mergeCell ref="X13:Y14"/>
    <mergeCell ref="V13:W14"/>
    <mergeCell ref="M15:N15"/>
    <mergeCell ref="R13:S14"/>
    <mergeCell ref="M14:P14"/>
    <mergeCell ref="B424:G425"/>
    <mergeCell ref="B410:G411"/>
    <mergeCell ref="B405:G409"/>
    <mergeCell ref="F436:G436"/>
    <mergeCell ref="B430:G431"/>
    <mergeCell ref="F435:G435"/>
    <mergeCell ref="B432:G433"/>
    <mergeCell ref="N486:N490"/>
    <mergeCell ref="K485:K490"/>
    <mergeCell ref="M392:N392"/>
    <mergeCell ref="M394:N394"/>
    <mergeCell ref="M393:N393"/>
    <mergeCell ref="K394:K398"/>
    <mergeCell ref="J393:K393"/>
    <mergeCell ref="N395:N399"/>
    <mergeCell ref="J392:K392"/>
    <mergeCell ref="J394:J397"/>
    <mergeCell ref="G338:H338"/>
    <mergeCell ref="F359:H359"/>
    <mergeCell ref="A321:A327"/>
    <mergeCell ref="M321:P321"/>
    <mergeCell ref="M322:P322"/>
    <mergeCell ref="J321:K321"/>
    <mergeCell ref="F339:H339"/>
    <mergeCell ref="B356:H358"/>
    <mergeCell ref="B337:H337"/>
    <mergeCell ref="G336:H336"/>
    <mergeCell ref="E284:G284"/>
    <mergeCell ref="E285:G285"/>
    <mergeCell ref="M150:N150"/>
    <mergeCell ref="B126:H128"/>
    <mergeCell ref="M151:N151"/>
    <mergeCell ref="N143:O143"/>
    <mergeCell ref="B129:H131"/>
    <mergeCell ref="J150:K150"/>
    <mergeCell ref="J149:K149"/>
    <mergeCell ref="B207:G209"/>
    <mergeCell ref="B111:H112"/>
    <mergeCell ref="B105:H106"/>
    <mergeCell ref="A143:C143"/>
    <mergeCell ref="B107:H107"/>
    <mergeCell ref="B123:H125"/>
    <mergeCell ref="B114:H114"/>
    <mergeCell ref="B134:H136"/>
    <mergeCell ref="B110:H110"/>
    <mergeCell ref="B108:H109"/>
    <mergeCell ref="B183:G184"/>
    <mergeCell ref="A6:N6"/>
    <mergeCell ref="B69:H70"/>
    <mergeCell ref="B63:H64"/>
    <mergeCell ref="B57:H58"/>
    <mergeCell ref="B59:H60"/>
    <mergeCell ref="B67:H68"/>
    <mergeCell ref="F66:H66"/>
    <mergeCell ref="B34:H35"/>
    <mergeCell ref="A9:P9"/>
    <mergeCell ref="A10:P10"/>
    <mergeCell ref="K143:L143"/>
    <mergeCell ref="B103:H104"/>
    <mergeCell ref="B138:H138"/>
    <mergeCell ref="J13:K13"/>
    <mergeCell ref="B71:H71"/>
    <mergeCell ref="G100:H100"/>
    <mergeCell ref="B98:H98"/>
    <mergeCell ref="B53:H54"/>
    <mergeCell ref="F65:H65"/>
    <mergeCell ref="J14:K14"/>
    <mergeCell ref="A13:A19"/>
    <mergeCell ref="G97:H97"/>
    <mergeCell ref="B72:H73"/>
    <mergeCell ref="B77:H78"/>
    <mergeCell ref="B79:H80"/>
    <mergeCell ref="G96:H96"/>
    <mergeCell ref="B90:H90"/>
    <mergeCell ref="B91:H92"/>
    <mergeCell ref="B22:H24"/>
    <mergeCell ref="B25:H26"/>
    <mergeCell ref="Z321:AA322"/>
    <mergeCell ref="B81:H82"/>
    <mergeCell ref="R321:S322"/>
    <mergeCell ref="V321:W322"/>
    <mergeCell ref="X321:Y322"/>
    <mergeCell ref="M149:N149"/>
    <mergeCell ref="B185:E186"/>
    <mergeCell ref="B84:H85"/>
    <mergeCell ref="B212:G215"/>
  </mergeCells>
  <printOptions/>
  <pageMargins left="0.75" right="0.75" top="1" bottom="1" header="0.5" footer="0.5"/>
  <pageSetup horizontalDpi="600" verticalDpi="600" orientation="portrait" paperSize="9" scale="62" r:id="rId1"/>
  <rowBreaks count="3" manualBreakCount="3">
    <brk id="70" min="12" max="59" man="1"/>
    <brk id="146" max="255" man="1"/>
    <brk id="979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S253"/>
  <sheetViews>
    <sheetView view="pageBreakPreview" zoomScaleSheetLayoutView="100" zoomScalePageLayoutView="0" workbookViewId="0" topLeftCell="A144">
      <selection activeCell="B126" sqref="B126:H126"/>
    </sheetView>
  </sheetViews>
  <sheetFormatPr defaultColWidth="9.140625" defaultRowHeight="12.75"/>
  <cols>
    <col min="1" max="1" width="7.28125" style="158" customWidth="1"/>
    <col min="2" max="7" width="9.8515625" style="149" customWidth="1"/>
    <col min="8" max="8" width="3.8515625" style="149" customWidth="1"/>
    <col min="9" max="9" width="6.7109375" style="119" customWidth="1"/>
    <col min="10" max="11" width="8.28125" style="150" customWidth="1"/>
    <col min="12" max="12" width="8.28125" style="256" customWidth="1"/>
    <col min="13" max="14" width="8.421875" style="150" customWidth="1"/>
    <col min="15" max="16" width="8.421875" style="150" hidden="1" customWidth="1"/>
    <col min="17" max="16384" width="9.140625" style="150" customWidth="1"/>
  </cols>
  <sheetData>
    <row r="1" spans="9:16" ht="15">
      <c r="I1" s="149"/>
      <c r="K1" s="2083"/>
      <c r="L1" s="2083" t="s">
        <v>178</v>
      </c>
      <c r="M1" s="2083"/>
      <c r="N1" s="154"/>
      <c r="O1" s="151"/>
      <c r="P1" s="151"/>
    </row>
    <row r="2" spans="11:16" ht="15">
      <c r="K2" s="2083" t="str">
        <f>'прейск-т'!O5</f>
        <v>Главный врач Слонимской ЦРБ</v>
      </c>
      <c r="L2" s="2083"/>
      <c r="M2" s="2087"/>
      <c r="N2" s="2087"/>
      <c r="O2" s="151"/>
      <c r="P2" s="1039" t="str">
        <f>'лаб-рия'!P918</f>
        <v>Главный врач Слонимской ЦРБ</v>
      </c>
    </row>
    <row r="3" spans="11:16" ht="15">
      <c r="K3" s="2083"/>
      <c r="L3" s="2083" t="str">
        <f>'прейск-т'!O6</f>
        <v>Г.М. Моисеенкова</v>
      </c>
      <c r="M3" s="2087"/>
      <c r="N3" s="2087"/>
      <c r="O3" s="151"/>
      <c r="P3" s="1039" t="str">
        <f>'лаб-рия'!P919</f>
        <v>Г.М. Моисеенкова</v>
      </c>
    </row>
    <row r="4" spans="1:16" s="164" customFormat="1" ht="15">
      <c r="A4" s="158"/>
      <c r="B4" s="159"/>
      <c r="C4" s="159"/>
      <c r="D4" s="159"/>
      <c r="E4" s="159"/>
      <c r="F4" s="159"/>
      <c r="G4" s="159"/>
      <c r="H4" s="159"/>
      <c r="I4" s="158"/>
      <c r="K4" s="2084"/>
      <c r="L4" s="2085">
        <f>'прейск-т'!M7</f>
        <v>1</v>
      </c>
      <c r="M4" s="2086" t="str">
        <f>'прейск-т'!N7</f>
        <v>июля</v>
      </c>
      <c r="N4" s="2084" t="str">
        <f>'лаб-рия'!N920</f>
        <v>2017 г.</v>
      </c>
      <c r="O4" s="1039" t="str">
        <f>'лаб-рия'!O920</f>
        <v>июля</v>
      </c>
      <c r="P4" s="1039" t="str">
        <f>'лаб-рия'!P920</f>
        <v>2017 г.</v>
      </c>
    </row>
    <row r="5" spans="1:16" s="154" customFormat="1" ht="25.5" customHeight="1" hidden="1">
      <c r="A5" s="2247" t="s">
        <v>438</v>
      </c>
      <c r="B5" s="2247"/>
      <c r="C5" s="2247"/>
      <c r="D5" s="2247"/>
      <c r="E5" s="2247"/>
      <c r="F5" s="2247"/>
      <c r="G5" s="2247"/>
      <c r="H5" s="2247"/>
      <c r="I5" s="2247"/>
      <c r="J5" s="2247"/>
      <c r="K5" s="2247"/>
      <c r="L5" s="2247"/>
      <c r="M5" s="2247"/>
      <c r="N5" s="2247"/>
      <c r="O5" s="2247"/>
      <c r="P5" s="2247"/>
    </row>
    <row r="6" spans="1:16" s="157" customFormat="1" ht="11.25" customHeight="1" hidden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6"/>
      <c r="M6" s="155"/>
      <c r="N6" s="155"/>
      <c r="O6" s="155"/>
      <c r="P6" s="155"/>
    </row>
    <row r="7" spans="1:16" s="164" customFormat="1" ht="11.25" customHeight="1" hidden="1">
      <c r="A7" s="158"/>
      <c r="B7" s="159"/>
      <c r="C7" s="159"/>
      <c r="D7" s="159"/>
      <c r="E7" s="159"/>
      <c r="F7" s="159"/>
      <c r="G7" s="159"/>
      <c r="H7" s="159"/>
      <c r="I7" s="158"/>
      <c r="J7" s="160"/>
      <c r="K7" s="161"/>
      <c r="L7" s="162"/>
      <c r="M7" s="159"/>
      <c r="N7" s="159"/>
      <c r="O7" s="159"/>
      <c r="P7" s="163"/>
    </row>
    <row r="8" spans="1:16" s="165" customFormat="1" ht="15.75" customHeight="1">
      <c r="A8" s="2248" t="s">
        <v>439</v>
      </c>
      <c r="B8" s="2248"/>
      <c r="C8" s="2248"/>
      <c r="D8" s="2248"/>
      <c r="E8" s="2248"/>
      <c r="F8" s="2248"/>
      <c r="G8" s="2248"/>
      <c r="H8" s="2248"/>
      <c r="I8" s="2248"/>
      <c r="J8" s="2248"/>
      <c r="K8" s="2248"/>
      <c r="L8" s="2248"/>
      <c r="M8" s="2248"/>
      <c r="N8" s="2248"/>
      <c r="O8" s="2248"/>
      <c r="P8" s="2248"/>
    </row>
    <row r="9" spans="1:16" s="165" customFormat="1" ht="15.75" customHeight="1">
      <c r="A9" s="2248" t="s">
        <v>922</v>
      </c>
      <c r="B9" s="2248"/>
      <c r="C9" s="2248"/>
      <c r="D9" s="2248"/>
      <c r="E9" s="2248"/>
      <c r="F9" s="2248"/>
      <c r="G9" s="2248"/>
      <c r="H9" s="2248"/>
      <c r="I9" s="2248"/>
      <c r="J9" s="2248"/>
      <c r="K9" s="2248"/>
      <c r="L9" s="2248"/>
      <c r="M9" s="2248"/>
      <c r="N9" s="2248"/>
      <c r="O9" s="2248"/>
      <c r="P9" s="2248"/>
    </row>
    <row r="10" spans="1:12" s="165" customFormat="1" ht="9" customHeight="1">
      <c r="A10" s="158"/>
      <c r="B10" s="167"/>
      <c r="C10" s="167"/>
      <c r="D10" s="167"/>
      <c r="E10" s="167"/>
      <c r="F10" s="167"/>
      <c r="G10" s="168"/>
      <c r="H10" s="167"/>
      <c r="I10" s="169"/>
      <c r="L10" s="170"/>
    </row>
    <row r="11" spans="1:12" s="177" customFormat="1" ht="15">
      <c r="A11" s="962"/>
      <c r="B11" s="172" t="str">
        <f>'прейск-т'!C1313</f>
        <v>вводится с </v>
      </c>
      <c r="C11" s="173" t="str">
        <f>'прейск-т'!D13</f>
        <v>01.07.2017г.</v>
      </c>
      <c r="D11" s="173"/>
      <c r="E11" s="174"/>
      <c r="F11" s="174"/>
      <c r="G11" s="175"/>
      <c r="H11" s="174"/>
      <c r="I11" s="176"/>
      <c r="L11" s="178"/>
    </row>
    <row r="12" spans="1:16" s="177" customFormat="1" ht="15.75">
      <c r="A12" s="2443" t="s">
        <v>259</v>
      </c>
      <c r="B12" s="1581"/>
      <c r="C12" s="1581"/>
      <c r="D12" s="1581"/>
      <c r="E12" s="1682"/>
      <c r="F12" s="1581"/>
      <c r="G12" s="1581"/>
      <c r="H12" s="266"/>
      <c r="I12" s="515"/>
      <c r="J12" s="2446" t="s">
        <v>447</v>
      </c>
      <c r="K12" s="2447"/>
      <c r="L12" s="1684" t="s">
        <v>923</v>
      </c>
      <c r="M12" s="2303" t="s">
        <v>443</v>
      </c>
      <c r="N12" s="2304"/>
      <c r="O12" s="2304"/>
      <c r="P12" s="2305"/>
    </row>
    <row r="13" spans="1:16" s="177" customFormat="1" ht="15.75">
      <c r="A13" s="2444"/>
      <c r="B13" s="149"/>
      <c r="C13" s="149"/>
      <c r="D13" s="149"/>
      <c r="E13" s="149"/>
      <c r="F13" s="149"/>
      <c r="G13" s="149"/>
      <c r="H13" s="219"/>
      <c r="I13" s="122"/>
      <c r="J13" s="2435"/>
      <c r="K13" s="2436"/>
      <c r="L13" s="218" t="s">
        <v>924</v>
      </c>
      <c r="M13" s="2306" t="s">
        <v>233</v>
      </c>
      <c r="N13" s="2307"/>
      <c r="O13" s="2307"/>
      <c r="P13" s="2308"/>
    </row>
    <row r="14" spans="1:16" s="177" customFormat="1" ht="31.5" customHeight="1">
      <c r="A14" s="2444"/>
      <c r="B14" s="149"/>
      <c r="C14" s="149"/>
      <c r="D14" s="149"/>
      <c r="E14" s="119" t="s">
        <v>445</v>
      </c>
      <c r="F14" s="149"/>
      <c r="G14" s="149"/>
      <c r="H14" s="219"/>
      <c r="I14" s="1688" t="s">
        <v>513</v>
      </c>
      <c r="J14" s="1683" t="s">
        <v>926</v>
      </c>
      <c r="K14" s="1685" t="s">
        <v>927</v>
      </c>
      <c r="L14" s="218" t="s">
        <v>448</v>
      </c>
      <c r="M14" s="2392" t="s">
        <v>509</v>
      </c>
      <c r="N14" s="2350"/>
      <c r="O14" s="2349" t="s">
        <v>510</v>
      </c>
      <c r="P14" s="2350"/>
    </row>
    <row r="15" spans="1:16" s="177" customFormat="1" ht="15.75">
      <c r="A15" s="2444"/>
      <c r="B15" s="119"/>
      <c r="C15" s="119"/>
      <c r="D15" s="119"/>
      <c r="E15" s="119"/>
      <c r="F15" s="149"/>
      <c r="G15" s="149"/>
      <c r="H15" s="122"/>
      <c r="I15" s="122" t="s">
        <v>928</v>
      </c>
      <c r="J15" s="217" t="s">
        <v>929</v>
      </c>
      <c r="K15" s="121" t="s">
        <v>930</v>
      </c>
      <c r="L15" s="218" t="s">
        <v>452</v>
      </c>
      <c r="M15" s="1560" t="s">
        <v>926</v>
      </c>
      <c r="N15" s="1564" t="s">
        <v>927</v>
      </c>
      <c r="O15" s="1561" t="s">
        <v>926</v>
      </c>
      <c r="P15" s="1564" t="s">
        <v>927</v>
      </c>
    </row>
    <row r="16" spans="1:16" s="201" customFormat="1" ht="15.75">
      <c r="A16" s="2444"/>
      <c r="B16" s="149"/>
      <c r="C16" s="149"/>
      <c r="D16" s="149"/>
      <c r="E16" s="149"/>
      <c r="F16" s="149"/>
      <c r="G16" s="119"/>
      <c r="H16" s="122"/>
      <c r="I16" s="122" t="s">
        <v>931</v>
      </c>
      <c r="J16" s="217"/>
      <c r="K16" s="121" t="s">
        <v>932</v>
      </c>
      <c r="L16" s="1686"/>
      <c r="M16" s="1566" t="s">
        <v>929</v>
      </c>
      <c r="N16" s="1565" t="s">
        <v>930</v>
      </c>
      <c r="O16" s="169" t="s">
        <v>929</v>
      </c>
      <c r="P16" s="1565" t="s">
        <v>930</v>
      </c>
    </row>
    <row r="17" spans="1:16" s="201" customFormat="1" ht="15.75">
      <c r="A17" s="2444"/>
      <c r="B17" s="149"/>
      <c r="C17" s="149"/>
      <c r="D17" s="149"/>
      <c r="E17" s="149"/>
      <c r="F17" s="149"/>
      <c r="G17" s="119"/>
      <c r="H17" s="122"/>
      <c r="I17" s="122"/>
      <c r="J17" s="217"/>
      <c r="K17" s="121"/>
      <c r="L17" s="1686"/>
      <c r="M17" s="1566"/>
      <c r="N17" s="1565" t="s">
        <v>932</v>
      </c>
      <c r="O17" s="169"/>
      <c r="P17" s="1565" t="s">
        <v>932</v>
      </c>
    </row>
    <row r="18" spans="1:16" s="201" customFormat="1" ht="15.75">
      <c r="A18" s="2445"/>
      <c r="B18" s="278"/>
      <c r="C18" s="278"/>
      <c r="D18" s="278"/>
      <c r="E18" s="278"/>
      <c r="F18" s="278"/>
      <c r="G18" s="278"/>
      <c r="H18" s="324"/>
      <c r="I18" s="120"/>
      <c r="J18" s="1049" t="s">
        <v>933</v>
      </c>
      <c r="K18" s="234" t="s">
        <v>457</v>
      </c>
      <c r="L18" s="1687" t="s">
        <v>457</v>
      </c>
      <c r="M18" s="1562" t="s">
        <v>457</v>
      </c>
      <c r="N18" s="1567" t="s">
        <v>457</v>
      </c>
      <c r="O18" s="1563" t="s">
        <v>457</v>
      </c>
      <c r="P18" s="1567" t="s">
        <v>457</v>
      </c>
    </row>
    <row r="19" spans="1:16" s="151" customFormat="1" ht="15.75">
      <c r="A19" s="963"/>
      <c r="B19" s="1691" t="s">
        <v>934</v>
      </c>
      <c r="C19" s="1680"/>
      <c r="D19" s="1680"/>
      <c r="E19" s="1680"/>
      <c r="F19" s="1680"/>
      <c r="G19" s="1680"/>
      <c r="H19" s="1681"/>
      <c r="I19" s="485"/>
      <c r="J19" s="486"/>
      <c r="K19" s="487"/>
      <c r="L19" s="488"/>
      <c r="M19" s="1689"/>
      <c r="N19" s="949"/>
      <c r="O19" s="489"/>
      <c r="P19" s="948"/>
    </row>
    <row r="20" spans="1:16" ht="15.75">
      <c r="A20" s="964" t="s">
        <v>347</v>
      </c>
      <c r="B20" s="1692" t="s">
        <v>64</v>
      </c>
      <c r="C20" s="127"/>
      <c r="D20" s="127"/>
      <c r="E20" s="127"/>
      <c r="F20" s="127"/>
      <c r="G20" s="127"/>
      <c r="H20" s="379"/>
      <c r="I20" s="217"/>
      <c r="J20" s="123"/>
      <c r="K20" s="149"/>
      <c r="L20" s="1297"/>
      <c r="M20" s="522"/>
      <c r="N20" s="123"/>
      <c r="O20" s="149"/>
      <c r="P20" s="123"/>
    </row>
    <row r="21" spans="1:16" ht="30" customHeight="1">
      <c r="A21" s="965" t="s">
        <v>614</v>
      </c>
      <c r="B21" s="2437" t="s">
        <v>232</v>
      </c>
      <c r="C21" s="2438"/>
      <c r="D21" s="2438"/>
      <c r="E21" s="2438"/>
      <c r="F21" s="2438"/>
      <c r="G21" s="2438"/>
      <c r="H21" s="2439"/>
      <c r="I21" s="217"/>
      <c r="J21" s="123"/>
      <c r="K21" s="149"/>
      <c r="L21" s="1297"/>
      <c r="M21" s="1583"/>
      <c r="N21" s="213"/>
      <c r="O21" s="483"/>
      <c r="P21" s="123"/>
    </row>
    <row r="22" spans="1:19" s="653" customFormat="1" ht="17.25">
      <c r="A22" s="966" t="s">
        <v>348</v>
      </c>
      <c r="B22" s="1693" t="s">
        <v>210</v>
      </c>
      <c r="C22" s="1693"/>
      <c r="D22" s="1693"/>
      <c r="E22" s="1693"/>
      <c r="F22" s="1693"/>
      <c r="G22" s="1693"/>
      <c r="H22" s="1694"/>
      <c r="I22" s="657" t="s">
        <v>945</v>
      </c>
      <c r="J22" s="2061">
        <f>22300/10000</f>
        <v>2.23</v>
      </c>
      <c r="K22" s="2062" t="s">
        <v>622</v>
      </c>
      <c r="L22" s="2063">
        <f>'[1]бак'!$J$8</f>
        <v>0.998332</v>
      </c>
      <c r="M22" s="2064">
        <f>J22+L22</f>
        <v>3.228332</v>
      </c>
      <c r="N22" s="2065" t="s">
        <v>622</v>
      </c>
      <c r="O22" s="1700">
        <f>M22/10000</f>
        <v>0.0003228332</v>
      </c>
      <c r="P22" s="1703" t="s">
        <v>622</v>
      </c>
      <c r="R22" s="1193">
        <f>S22*1.2</f>
        <v>22320</v>
      </c>
      <c r="S22" s="972">
        <v>18600</v>
      </c>
    </row>
    <row r="23" spans="1:19" ht="17.25">
      <c r="A23" s="967" t="s">
        <v>349</v>
      </c>
      <c r="B23" s="127" t="s">
        <v>211</v>
      </c>
      <c r="C23" s="127"/>
      <c r="D23" s="127"/>
      <c r="E23" s="127"/>
      <c r="F23" s="127"/>
      <c r="G23" s="127"/>
      <c r="H23" s="379"/>
      <c r="I23" s="217"/>
      <c r="J23" s="2066"/>
      <c r="K23" s="1994"/>
      <c r="L23" s="2067"/>
      <c r="M23" s="2068"/>
      <c r="N23" s="2069"/>
      <c r="O23" s="1585"/>
      <c r="P23" s="1705"/>
      <c r="R23" s="151"/>
      <c r="S23" s="973"/>
    </row>
    <row r="24" spans="1:19" ht="16.5" customHeight="1">
      <c r="A24" s="967" t="s">
        <v>350</v>
      </c>
      <c r="B24" s="127" t="s">
        <v>212</v>
      </c>
      <c r="C24" s="127"/>
      <c r="D24" s="127"/>
      <c r="E24" s="127"/>
      <c r="F24" s="127"/>
      <c r="G24" s="127"/>
      <c r="H24" s="379"/>
      <c r="I24" s="216" t="s">
        <v>945</v>
      </c>
      <c r="J24" s="2066">
        <f>67300/10000</f>
        <v>6.73</v>
      </c>
      <c r="K24" s="2070" t="s">
        <v>622</v>
      </c>
      <c r="L24" s="2067">
        <f>'[1]бак'!$J$15</f>
        <v>5.389772000000001</v>
      </c>
      <c r="M24" s="2068">
        <f>J24+L24</f>
        <v>12.119772000000001</v>
      </c>
      <c r="N24" s="2069" t="s">
        <v>622</v>
      </c>
      <c r="O24" s="1700">
        <f>M24/10000</f>
        <v>0.0012119772000000002</v>
      </c>
      <c r="P24" s="1705" t="s">
        <v>622</v>
      </c>
      <c r="R24" s="1193">
        <f>S24*1.2</f>
        <v>67320</v>
      </c>
      <c r="S24" s="973">
        <v>56100</v>
      </c>
    </row>
    <row r="25" spans="1:19" ht="16.5" customHeight="1">
      <c r="A25" s="967" t="s">
        <v>351</v>
      </c>
      <c r="B25" s="127" t="s">
        <v>213</v>
      </c>
      <c r="C25" s="127"/>
      <c r="D25" s="127"/>
      <c r="E25" s="127"/>
      <c r="F25" s="127"/>
      <c r="G25" s="127"/>
      <c r="H25" s="379"/>
      <c r="I25" s="216" t="s">
        <v>945</v>
      </c>
      <c r="J25" s="2066">
        <f>66000/10000</f>
        <v>6.6</v>
      </c>
      <c r="K25" s="2070" t="s">
        <v>622</v>
      </c>
      <c r="L25" s="2067">
        <f>'[1]бак'!$J$30</f>
        <v>4.506437</v>
      </c>
      <c r="M25" s="2068">
        <f>J25+L25</f>
        <v>11.106437</v>
      </c>
      <c r="N25" s="2069" t="s">
        <v>622</v>
      </c>
      <c r="O25" s="1700">
        <f>M25/10000</f>
        <v>0.0011106437</v>
      </c>
      <c r="P25" s="1705" t="s">
        <v>622</v>
      </c>
      <c r="R25" s="1193">
        <f>S25*1.2</f>
        <v>66000</v>
      </c>
      <c r="S25" s="973">
        <v>55000</v>
      </c>
    </row>
    <row r="26" spans="1:19" ht="16.5" customHeight="1">
      <c r="A26" s="967" t="s">
        <v>352</v>
      </c>
      <c r="B26" s="127" t="s">
        <v>214</v>
      </c>
      <c r="C26" s="127"/>
      <c r="D26" s="127"/>
      <c r="E26" s="127"/>
      <c r="F26" s="127"/>
      <c r="G26" s="127"/>
      <c r="H26" s="379"/>
      <c r="I26" s="216" t="s">
        <v>945</v>
      </c>
      <c r="J26" s="2071">
        <f>69600/10000</f>
        <v>6.96</v>
      </c>
      <c r="K26" s="2070" t="s">
        <v>622</v>
      </c>
      <c r="L26" s="2067">
        <f>'[1]бак'!$J$47</f>
        <v>6.412932</v>
      </c>
      <c r="M26" s="2068">
        <f>J26+L26</f>
        <v>13.372931999999999</v>
      </c>
      <c r="N26" s="2069" t="s">
        <v>622</v>
      </c>
      <c r="O26" s="1700">
        <f>M26/10000</f>
        <v>0.0013372931999999999</v>
      </c>
      <c r="P26" s="1705" t="s">
        <v>622</v>
      </c>
      <c r="R26" s="1193">
        <f>S26*1.2</f>
        <v>69600</v>
      </c>
      <c r="S26" s="1146">
        <v>58000</v>
      </c>
    </row>
    <row r="27" spans="1:19" ht="17.25">
      <c r="A27" s="967" t="s">
        <v>353</v>
      </c>
      <c r="B27" s="127" t="s">
        <v>215</v>
      </c>
      <c r="C27" s="127"/>
      <c r="D27" s="127"/>
      <c r="E27" s="127"/>
      <c r="F27" s="127"/>
      <c r="G27" s="127"/>
      <c r="H27" s="379"/>
      <c r="I27" s="216" t="s">
        <v>945</v>
      </c>
      <c r="J27" s="2066">
        <f>59400/10000</f>
        <v>5.94</v>
      </c>
      <c r="K27" s="2070" t="s">
        <v>622</v>
      </c>
      <c r="L27" s="2067">
        <f>'[1]бак'!$J$66</f>
        <v>5.097132</v>
      </c>
      <c r="M27" s="2068">
        <f>J27+L27</f>
        <v>11.037132</v>
      </c>
      <c r="N27" s="2069" t="s">
        <v>622</v>
      </c>
      <c r="O27" s="1700">
        <f>M27/10000</f>
        <v>0.0011037132</v>
      </c>
      <c r="P27" s="1705" t="s">
        <v>622</v>
      </c>
      <c r="R27" s="1193">
        <f>S27*1.2</f>
        <v>59400</v>
      </c>
      <c r="S27" s="973">
        <v>49500</v>
      </c>
    </row>
    <row r="28" spans="1:19" ht="30.75" customHeight="1">
      <c r="A28" s="967" t="s">
        <v>354</v>
      </c>
      <c r="B28" s="2437" t="s">
        <v>217</v>
      </c>
      <c r="C28" s="2438"/>
      <c r="D28" s="2438"/>
      <c r="E28" s="2438"/>
      <c r="F28" s="2438"/>
      <c r="G28" s="2438"/>
      <c r="H28" s="2439"/>
      <c r="I28" s="217"/>
      <c r="J28" s="1998"/>
      <c r="K28" s="1994"/>
      <c r="L28" s="2067"/>
      <c r="M28" s="2068"/>
      <c r="N28" s="2069"/>
      <c r="O28" s="1585"/>
      <c r="P28" s="1705"/>
      <c r="R28" s="151"/>
      <c r="S28" s="123"/>
    </row>
    <row r="29" spans="1:19" ht="17.25">
      <c r="A29" s="967" t="s">
        <v>355</v>
      </c>
      <c r="B29" s="127" t="s">
        <v>211</v>
      </c>
      <c r="C29" s="127"/>
      <c r="D29" s="127"/>
      <c r="E29" s="127"/>
      <c r="F29" s="127"/>
      <c r="G29" s="127"/>
      <c r="H29" s="379"/>
      <c r="I29" s="217"/>
      <c r="J29" s="1998"/>
      <c r="K29" s="1994"/>
      <c r="L29" s="2067"/>
      <c r="M29" s="2068"/>
      <c r="N29" s="2069"/>
      <c r="O29" s="1585"/>
      <c r="P29" s="1705"/>
      <c r="R29" s="151"/>
      <c r="S29" s="123"/>
    </row>
    <row r="30" spans="1:19" ht="17.25">
      <c r="A30" s="967" t="s">
        <v>356</v>
      </c>
      <c r="B30" s="127" t="s">
        <v>212</v>
      </c>
      <c r="C30" s="127"/>
      <c r="D30" s="127"/>
      <c r="E30" s="127"/>
      <c r="F30" s="127"/>
      <c r="G30" s="127"/>
      <c r="H30" s="379"/>
      <c r="I30" s="216" t="s">
        <v>945</v>
      </c>
      <c r="J30" s="2071">
        <f>50600/10000</f>
        <v>5.06</v>
      </c>
      <c r="K30" s="2070" t="s">
        <v>622</v>
      </c>
      <c r="L30" s="2067">
        <f>'[1]бак'!$J$82</f>
        <v>3.8726920000000007</v>
      </c>
      <c r="M30" s="2068">
        <f>J30+L30</f>
        <v>8.932692</v>
      </c>
      <c r="N30" s="2069" t="s">
        <v>622</v>
      </c>
      <c r="O30" s="1700">
        <f>M30/10000</f>
        <v>0.0008932692</v>
      </c>
      <c r="P30" s="1705" t="s">
        <v>622</v>
      </c>
      <c r="R30" s="1193">
        <f>S30*1.2</f>
        <v>50640</v>
      </c>
      <c r="S30" s="1146">
        <v>42200</v>
      </c>
    </row>
    <row r="31" spans="1:19" ht="17.25">
      <c r="A31" s="967" t="s">
        <v>357</v>
      </c>
      <c r="B31" s="127" t="s">
        <v>213</v>
      </c>
      <c r="C31" s="127"/>
      <c r="D31" s="127"/>
      <c r="E31" s="127"/>
      <c r="F31" s="127"/>
      <c r="G31" s="127"/>
      <c r="H31" s="379"/>
      <c r="I31" s="216" t="s">
        <v>945</v>
      </c>
      <c r="J31" s="2071">
        <f>49300/10000</f>
        <v>4.93</v>
      </c>
      <c r="K31" s="2070" t="s">
        <v>622</v>
      </c>
      <c r="L31" s="2067">
        <f>'[1]бак'!$J$96</f>
        <v>3.0564370000000003</v>
      </c>
      <c r="M31" s="2068">
        <f>J31+L31</f>
        <v>7.9864370000000005</v>
      </c>
      <c r="N31" s="2069" t="s">
        <v>622</v>
      </c>
      <c r="O31" s="1700">
        <f>M31/10000</f>
        <v>0.0007986437</v>
      </c>
      <c r="P31" s="1705" t="s">
        <v>622</v>
      </c>
      <c r="Q31" s="149"/>
      <c r="R31" s="1193">
        <f>S31*1.2</f>
        <v>49320</v>
      </c>
      <c r="S31" s="1146">
        <v>41100</v>
      </c>
    </row>
    <row r="32" spans="1:19" ht="17.25">
      <c r="A32" s="968" t="s">
        <v>358</v>
      </c>
      <c r="B32" s="127" t="s">
        <v>214</v>
      </c>
      <c r="C32" s="127"/>
      <c r="D32" s="127"/>
      <c r="E32" s="127"/>
      <c r="F32" s="127"/>
      <c r="G32" s="127"/>
      <c r="H32" s="379"/>
      <c r="I32" s="216" t="s">
        <v>945</v>
      </c>
      <c r="J32" s="2071">
        <f>52900/10000</f>
        <v>5.29</v>
      </c>
      <c r="K32" s="2070" t="s">
        <v>622</v>
      </c>
      <c r="L32" s="2067">
        <f>'[1]бак'!$J$110</f>
        <v>30.562802</v>
      </c>
      <c r="M32" s="2068">
        <f>J32+L32</f>
        <v>35.852802000000004</v>
      </c>
      <c r="N32" s="2069" t="s">
        <v>622</v>
      </c>
      <c r="O32" s="1700">
        <f>M32/10000</f>
        <v>0.0035852802000000002</v>
      </c>
      <c r="P32" s="1705" t="s">
        <v>622</v>
      </c>
      <c r="Q32" s="149"/>
      <c r="R32" s="1193">
        <f>S32*1.2</f>
        <v>52920</v>
      </c>
      <c r="S32" s="1146">
        <v>44100</v>
      </c>
    </row>
    <row r="33" spans="1:19" ht="17.25">
      <c r="A33" s="968" t="s">
        <v>359</v>
      </c>
      <c r="B33" s="127" t="s">
        <v>215</v>
      </c>
      <c r="C33" s="127"/>
      <c r="D33" s="127"/>
      <c r="E33" s="127"/>
      <c r="F33" s="127"/>
      <c r="G33" s="127"/>
      <c r="H33" s="379"/>
      <c r="I33" s="216" t="s">
        <v>945</v>
      </c>
      <c r="J33" s="2071">
        <f>42700/10000</f>
        <v>4.27</v>
      </c>
      <c r="K33" s="2070" t="s">
        <v>622</v>
      </c>
      <c r="L33" s="2067">
        <f>'[1]бак'!$J$132</f>
        <v>3.103132</v>
      </c>
      <c r="M33" s="2068">
        <f>J33+L33</f>
        <v>7.373132</v>
      </c>
      <c r="N33" s="2069" t="s">
        <v>622</v>
      </c>
      <c r="O33" s="1700">
        <f>M33/10000</f>
        <v>0.0007373132</v>
      </c>
      <c r="P33" s="1705" t="s">
        <v>622</v>
      </c>
      <c r="Q33" s="149"/>
      <c r="R33" s="1193">
        <f>S33*1.2</f>
        <v>42720</v>
      </c>
      <c r="S33" s="1146">
        <v>35600</v>
      </c>
    </row>
    <row r="34" spans="1:19" ht="30" customHeight="1">
      <c r="A34" s="974" t="s">
        <v>360</v>
      </c>
      <c r="B34" s="2440" t="s">
        <v>218</v>
      </c>
      <c r="C34" s="2441"/>
      <c r="D34" s="2441"/>
      <c r="E34" s="2441"/>
      <c r="F34" s="2441"/>
      <c r="G34" s="2441"/>
      <c r="H34" s="2442"/>
      <c r="I34" s="502"/>
      <c r="J34" s="2066"/>
      <c r="K34" s="2072"/>
      <c r="L34" s="2067"/>
      <c r="M34" s="2073"/>
      <c r="N34" s="2074"/>
      <c r="O34" s="1701"/>
      <c r="P34" s="1706"/>
      <c r="Q34" s="149"/>
      <c r="R34" s="207"/>
      <c r="S34" s="973"/>
    </row>
    <row r="35" spans="1:19" ht="17.25">
      <c r="A35" s="969" t="s">
        <v>361</v>
      </c>
      <c r="B35" s="1678" t="s">
        <v>219</v>
      </c>
      <c r="C35" s="1678"/>
      <c r="D35" s="1678"/>
      <c r="E35" s="1678"/>
      <c r="F35" s="1678"/>
      <c r="G35" s="1678"/>
      <c r="H35" s="1695"/>
      <c r="I35" s="502"/>
      <c r="J35" s="2066"/>
      <c r="K35" s="2072"/>
      <c r="L35" s="2067"/>
      <c r="M35" s="2073"/>
      <c r="N35" s="2074"/>
      <c r="O35" s="1701"/>
      <c r="P35" s="1706"/>
      <c r="Q35" s="149"/>
      <c r="R35" s="207"/>
      <c r="S35" s="973"/>
    </row>
    <row r="36" spans="1:19" ht="17.25">
      <c r="A36" s="969" t="s">
        <v>362</v>
      </c>
      <c r="B36" s="1678" t="s">
        <v>220</v>
      </c>
      <c r="C36" s="1678"/>
      <c r="D36" s="1678"/>
      <c r="E36" s="1678"/>
      <c r="F36" s="1678"/>
      <c r="G36" s="1678"/>
      <c r="H36" s="1695"/>
      <c r="I36" s="503" t="s">
        <v>945</v>
      </c>
      <c r="J36" s="2066">
        <f>22300/10000</f>
        <v>2.23</v>
      </c>
      <c r="K36" s="2075" t="s">
        <v>622</v>
      </c>
      <c r="L36" s="2067">
        <f>'[1]бак'!$J$145</f>
        <v>4.86142</v>
      </c>
      <c r="M36" s="2073">
        <f>J36+L36</f>
        <v>7.091419999999999</v>
      </c>
      <c r="N36" s="2074" t="s">
        <v>622</v>
      </c>
      <c r="O36" s="1700">
        <f>M36/10000</f>
        <v>0.000709142</v>
      </c>
      <c r="P36" s="1706" t="s">
        <v>622</v>
      </c>
      <c r="Q36" s="149"/>
      <c r="R36" s="1193">
        <f>S36*1.2</f>
        <v>22320</v>
      </c>
      <c r="S36" s="973">
        <v>18600</v>
      </c>
    </row>
    <row r="37" spans="1:19" ht="17.25">
      <c r="A37" s="969" t="s">
        <v>363</v>
      </c>
      <c r="B37" s="1678" t="s">
        <v>221</v>
      </c>
      <c r="C37" s="1678"/>
      <c r="D37" s="1678"/>
      <c r="E37" s="1678"/>
      <c r="F37" s="1678"/>
      <c r="G37" s="1678"/>
      <c r="H37" s="1695"/>
      <c r="I37" s="503" t="s">
        <v>945</v>
      </c>
      <c r="J37" s="2071">
        <f>17000/10000</f>
        <v>1.7</v>
      </c>
      <c r="K37" s="2075" t="s">
        <v>622</v>
      </c>
      <c r="L37" s="2067">
        <f>'[1]бак'!$J$158</f>
        <v>4.86142</v>
      </c>
      <c r="M37" s="2073">
        <f>J37+L37</f>
        <v>6.56142</v>
      </c>
      <c r="N37" s="2074" t="s">
        <v>622</v>
      </c>
      <c r="O37" s="1700">
        <f>M37/10000</f>
        <v>0.000656142</v>
      </c>
      <c r="P37" s="1706" t="s">
        <v>622</v>
      </c>
      <c r="Q37" s="149"/>
      <c r="R37" s="1193">
        <f>S37*1.2</f>
        <v>17040</v>
      </c>
      <c r="S37" s="1146">
        <v>14200</v>
      </c>
    </row>
    <row r="38" spans="1:19" ht="17.25">
      <c r="A38" s="969" t="s">
        <v>364</v>
      </c>
      <c r="B38" s="1678" t="s">
        <v>413</v>
      </c>
      <c r="C38" s="1678"/>
      <c r="D38" s="1678"/>
      <c r="E38" s="1678"/>
      <c r="F38" s="1678"/>
      <c r="G38" s="1678"/>
      <c r="H38" s="1695"/>
      <c r="I38" s="503" t="s">
        <v>945</v>
      </c>
      <c r="J38" s="2071">
        <f>29000/10000</f>
        <v>2.9</v>
      </c>
      <c r="K38" s="2075" t="s">
        <v>622</v>
      </c>
      <c r="L38" s="2067">
        <f>'[1]бак'!$J$161</f>
        <v>4.86142</v>
      </c>
      <c r="M38" s="2073">
        <f>J38+L38</f>
        <v>7.761419999999999</v>
      </c>
      <c r="N38" s="2074" t="s">
        <v>622</v>
      </c>
      <c r="O38" s="1700">
        <f>M38/10000</f>
        <v>0.000776142</v>
      </c>
      <c r="P38" s="1706" t="s">
        <v>622</v>
      </c>
      <c r="Q38" s="149"/>
      <c r="R38" s="1193">
        <f>S38*1.2</f>
        <v>29040</v>
      </c>
      <c r="S38" s="1146">
        <v>24200</v>
      </c>
    </row>
    <row r="39" spans="1:19" ht="17.25">
      <c r="A39" s="969" t="s">
        <v>365</v>
      </c>
      <c r="B39" s="1678" t="s">
        <v>211</v>
      </c>
      <c r="C39" s="1678"/>
      <c r="D39" s="1678"/>
      <c r="E39" s="1678"/>
      <c r="F39" s="1678"/>
      <c r="G39" s="1678"/>
      <c r="H39" s="1695"/>
      <c r="I39" s="502"/>
      <c r="J39" s="2066"/>
      <c r="K39" s="2072"/>
      <c r="L39" s="2067"/>
      <c r="M39" s="2073"/>
      <c r="N39" s="2074"/>
      <c r="O39" s="1701"/>
      <c r="P39" s="1706"/>
      <c r="Q39" s="149"/>
      <c r="R39" s="207"/>
      <c r="S39" s="973"/>
    </row>
    <row r="40" spans="1:19" ht="17.25">
      <c r="A40" s="969" t="s">
        <v>366</v>
      </c>
      <c r="B40" s="1678" t="s">
        <v>212</v>
      </c>
      <c r="C40" s="1678"/>
      <c r="D40" s="1678"/>
      <c r="E40" s="1678"/>
      <c r="F40" s="1678"/>
      <c r="G40" s="1678"/>
      <c r="H40" s="1695"/>
      <c r="I40" s="503" t="s">
        <v>945</v>
      </c>
      <c r="J40" s="2066">
        <f>59600/10000</f>
        <v>5.96</v>
      </c>
      <c r="K40" s="2075" t="s">
        <v>622</v>
      </c>
      <c r="L40" s="2067">
        <f>'[1]бак'!$J$165</f>
        <v>3.040512</v>
      </c>
      <c r="M40" s="2073">
        <f>J40+L40</f>
        <v>9.000512</v>
      </c>
      <c r="N40" s="2074" t="s">
        <v>622</v>
      </c>
      <c r="O40" s="1700">
        <f>M40/10000</f>
        <v>0.0009000512000000001</v>
      </c>
      <c r="P40" s="1706" t="s">
        <v>622</v>
      </c>
      <c r="Q40" s="149"/>
      <c r="R40" s="1193">
        <f>S40*1.2</f>
        <v>59640</v>
      </c>
      <c r="S40" s="973">
        <v>49700</v>
      </c>
    </row>
    <row r="41" spans="1:19" ht="17.25">
      <c r="A41" s="969" t="s">
        <v>367</v>
      </c>
      <c r="B41" s="1678" t="s">
        <v>213</v>
      </c>
      <c r="C41" s="1678"/>
      <c r="D41" s="1678"/>
      <c r="E41" s="1678"/>
      <c r="F41" s="1678"/>
      <c r="G41" s="1678"/>
      <c r="H41" s="1695"/>
      <c r="I41" s="503" t="s">
        <v>945</v>
      </c>
      <c r="J41" s="2066">
        <f>58300/10000</f>
        <v>5.83</v>
      </c>
      <c r="K41" s="2075" t="s">
        <v>622</v>
      </c>
      <c r="L41" s="2067">
        <f>'[1]бак'!$J$178</f>
        <v>2.9345120000000002</v>
      </c>
      <c r="M41" s="2073">
        <f>J41+L41</f>
        <v>8.764512</v>
      </c>
      <c r="N41" s="2074" t="s">
        <v>622</v>
      </c>
      <c r="O41" s="1700">
        <f>M41/10000</f>
        <v>0.0008764512</v>
      </c>
      <c r="P41" s="1706" t="s">
        <v>622</v>
      </c>
      <c r="Q41" s="149"/>
      <c r="R41" s="1193">
        <f>S41*1.2</f>
        <v>58320</v>
      </c>
      <c r="S41" s="973">
        <v>48600</v>
      </c>
    </row>
    <row r="42" spans="1:19" ht="17.25">
      <c r="A42" s="969" t="s">
        <v>368</v>
      </c>
      <c r="B42" s="1678" t="s">
        <v>214</v>
      </c>
      <c r="C42" s="1678"/>
      <c r="D42" s="1678"/>
      <c r="E42" s="1678"/>
      <c r="F42" s="1678"/>
      <c r="G42" s="1678"/>
      <c r="H42" s="1695"/>
      <c r="I42" s="503" t="s">
        <v>945</v>
      </c>
      <c r="J42" s="2071">
        <f>61900/10000</f>
        <v>6.19</v>
      </c>
      <c r="K42" s="2075" t="s">
        <v>622</v>
      </c>
      <c r="L42" s="2067">
        <f>'[1]бак'!$J$190</f>
        <v>2.9345120000000002</v>
      </c>
      <c r="M42" s="2073">
        <f>J42+L42</f>
        <v>9.124512000000001</v>
      </c>
      <c r="N42" s="2074" t="s">
        <v>622</v>
      </c>
      <c r="O42" s="1700">
        <f>M42/10000</f>
        <v>0.0009124512000000001</v>
      </c>
      <c r="P42" s="1706" t="s">
        <v>622</v>
      </c>
      <c r="Q42" s="149"/>
      <c r="R42" s="1193">
        <f>S42*1.2</f>
        <v>61920</v>
      </c>
      <c r="S42" s="1146">
        <v>51600</v>
      </c>
    </row>
    <row r="43" spans="1:19" ht="17.25">
      <c r="A43" s="969" t="s">
        <v>369</v>
      </c>
      <c r="B43" s="1678" t="s">
        <v>215</v>
      </c>
      <c r="C43" s="1678"/>
      <c r="D43" s="1678"/>
      <c r="E43" s="1678"/>
      <c r="F43" s="1678"/>
      <c r="G43" s="1678"/>
      <c r="H43" s="1695"/>
      <c r="I43" s="503" t="s">
        <v>945</v>
      </c>
      <c r="J43" s="2066">
        <f>51700/10000</f>
        <v>5.17</v>
      </c>
      <c r="K43" s="2075" t="s">
        <v>622</v>
      </c>
      <c r="L43" s="2067">
        <f>'[1]бак'!$J$202</f>
        <v>2.9345120000000002</v>
      </c>
      <c r="M43" s="2073">
        <f>J43+L43</f>
        <v>8.104512</v>
      </c>
      <c r="N43" s="2074" t="s">
        <v>622</v>
      </c>
      <c r="O43" s="1700">
        <f>M43/10000</f>
        <v>0.0008104512</v>
      </c>
      <c r="P43" s="1706" t="s">
        <v>622</v>
      </c>
      <c r="R43" s="1193">
        <f>S43*1.2</f>
        <v>51720</v>
      </c>
      <c r="S43" s="973">
        <v>43100</v>
      </c>
    </row>
    <row r="44" spans="1:19" ht="45" customHeight="1">
      <c r="A44" s="967" t="s">
        <v>370</v>
      </c>
      <c r="B44" s="2437" t="s">
        <v>231</v>
      </c>
      <c r="C44" s="2438"/>
      <c r="D44" s="2438"/>
      <c r="E44" s="2438"/>
      <c r="F44" s="2438"/>
      <c r="G44" s="2438"/>
      <c r="H44" s="2439"/>
      <c r="I44" s="217"/>
      <c r="J44" s="2066"/>
      <c r="K44" s="1994"/>
      <c r="L44" s="2067"/>
      <c r="M44" s="2068"/>
      <c r="N44" s="2069"/>
      <c r="O44" s="1585"/>
      <c r="P44" s="1705"/>
      <c r="R44" s="207"/>
      <c r="S44" s="973"/>
    </row>
    <row r="45" spans="1:19" ht="17.25">
      <c r="A45" s="967" t="s">
        <v>371</v>
      </c>
      <c r="B45" s="127" t="s">
        <v>222</v>
      </c>
      <c r="C45" s="127"/>
      <c r="D45" s="127"/>
      <c r="E45" s="127"/>
      <c r="F45" s="127"/>
      <c r="G45" s="127"/>
      <c r="H45" s="379"/>
      <c r="I45" s="216" t="s">
        <v>945</v>
      </c>
      <c r="J45" s="2071">
        <f>13900/10000</f>
        <v>1.39</v>
      </c>
      <c r="K45" s="2070" t="s">
        <v>622</v>
      </c>
      <c r="L45" s="2076">
        <f>'[1]бак'!$J$214</f>
        <v>6.099639999999999</v>
      </c>
      <c r="M45" s="2068">
        <f>J45+L45</f>
        <v>7.489639999999999</v>
      </c>
      <c r="N45" s="2069" t="s">
        <v>622</v>
      </c>
      <c r="O45" s="1700">
        <f>M45/10000</f>
        <v>0.0007489639999999999</v>
      </c>
      <c r="P45" s="1705" t="s">
        <v>622</v>
      </c>
      <c r="R45" s="1193">
        <f aca="true" t="shared" si="0" ref="R45:R50">S45*1.2</f>
        <v>13920</v>
      </c>
      <c r="S45" s="1146">
        <v>11600</v>
      </c>
    </row>
    <row r="46" spans="1:19" ht="17.25">
      <c r="A46" s="967" t="s">
        <v>372</v>
      </c>
      <c r="B46" s="127" t="s">
        <v>211</v>
      </c>
      <c r="C46" s="127"/>
      <c r="D46" s="127"/>
      <c r="E46" s="127"/>
      <c r="F46" s="127"/>
      <c r="G46" s="127"/>
      <c r="H46" s="379"/>
      <c r="I46" s="217"/>
      <c r="J46" s="2066"/>
      <c r="K46" s="1994"/>
      <c r="L46" s="2067"/>
      <c r="M46" s="2068"/>
      <c r="N46" s="2069"/>
      <c r="O46" s="1585"/>
      <c r="P46" s="1705"/>
      <c r="R46" s="1193">
        <f t="shared" si="0"/>
        <v>0</v>
      </c>
      <c r="S46" s="973"/>
    </row>
    <row r="47" spans="1:19" ht="17.25">
      <c r="A47" s="967" t="s">
        <v>373</v>
      </c>
      <c r="B47" s="127" t="s">
        <v>212</v>
      </c>
      <c r="C47" s="127"/>
      <c r="D47" s="127"/>
      <c r="E47" s="127"/>
      <c r="F47" s="127"/>
      <c r="G47" s="127"/>
      <c r="H47" s="379"/>
      <c r="I47" s="216" t="s">
        <v>945</v>
      </c>
      <c r="J47" s="2066">
        <f>44500/10000</f>
        <v>4.45</v>
      </c>
      <c r="K47" s="2070" t="s">
        <v>622</v>
      </c>
      <c r="L47" s="2067">
        <f>'[1]бак'!$J$225</f>
        <v>3.768692</v>
      </c>
      <c r="M47" s="2068">
        <f>J47+L47</f>
        <v>8.218692</v>
      </c>
      <c r="N47" s="2069" t="s">
        <v>622</v>
      </c>
      <c r="O47" s="1700">
        <f>M47/10000</f>
        <v>0.0008218692000000001</v>
      </c>
      <c r="P47" s="1705" t="s">
        <v>622</v>
      </c>
      <c r="R47" s="1193">
        <f t="shared" si="0"/>
        <v>44520</v>
      </c>
      <c r="S47" s="973">
        <v>37100</v>
      </c>
    </row>
    <row r="48" spans="1:19" ht="17.25">
      <c r="A48" s="967" t="s">
        <v>375</v>
      </c>
      <c r="B48" s="127" t="s">
        <v>213</v>
      </c>
      <c r="C48" s="127"/>
      <c r="D48" s="127"/>
      <c r="E48" s="127"/>
      <c r="F48" s="127"/>
      <c r="G48" s="127"/>
      <c r="H48" s="379"/>
      <c r="I48" s="216" t="s">
        <v>945</v>
      </c>
      <c r="J48" s="2066">
        <f>43200/10000</f>
        <v>4.32</v>
      </c>
      <c r="K48" s="2070" t="s">
        <v>622</v>
      </c>
      <c r="L48" s="2067">
        <f>'[1]бак'!$J$238</f>
        <v>3.0264369999999996</v>
      </c>
      <c r="M48" s="2068">
        <f>J48+L48</f>
        <v>7.346437</v>
      </c>
      <c r="N48" s="2069" t="s">
        <v>622</v>
      </c>
      <c r="O48" s="1700">
        <f>M48/10000</f>
        <v>0.0007346437</v>
      </c>
      <c r="P48" s="1705" t="s">
        <v>622</v>
      </c>
      <c r="R48" s="1193">
        <f t="shared" si="0"/>
        <v>43200</v>
      </c>
      <c r="S48" s="973">
        <v>36000</v>
      </c>
    </row>
    <row r="49" spans="1:19" ht="17.25">
      <c r="A49" s="967" t="s">
        <v>376</v>
      </c>
      <c r="B49" s="127" t="s">
        <v>214</v>
      </c>
      <c r="C49" s="127"/>
      <c r="D49" s="127"/>
      <c r="E49" s="127"/>
      <c r="F49" s="127"/>
      <c r="G49" s="127"/>
      <c r="H49" s="379"/>
      <c r="I49" s="216" t="s">
        <v>945</v>
      </c>
      <c r="J49" s="2066">
        <f>46800/10000</f>
        <v>4.68</v>
      </c>
      <c r="K49" s="2070" t="s">
        <v>622</v>
      </c>
      <c r="L49" s="2067">
        <f>'[1]бак'!$J$252</f>
        <v>30.562801999999998</v>
      </c>
      <c r="M49" s="2068">
        <f>J49+L49</f>
        <v>35.242802</v>
      </c>
      <c r="N49" s="2069" t="s">
        <v>622</v>
      </c>
      <c r="O49" s="1700">
        <f>M49/10000</f>
        <v>0.0035242802</v>
      </c>
      <c r="P49" s="1705" t="s">
        <v>622</v>
      </c>
      <c r="R49" s="1193">
        <f t="shared" si="0"/>
        <v>46800</v>
      </c>
      <c r="S49" s="973">
        <v>39000</v>
      </c>
    </row>
    <row r="50" spans="1:19" ht="17.25">
      <c r="A50" s="967" t="s">
        <v>377</v>
      </c>
      <c r="B50" s="127" t="s">
        <v>215</v>
      </c>
      <c r="C50" s="127"/>
      <c r="D50" s="127"/>
      <c r="E50" s="127"/>
      <c r="F50" s="127"/>
      <c r="G50" s="127"/>
      <c r="H50" s="379"/>
      <c r="I50" s="216" t="s">
        <v>945</v>
      </c>
      <c r="J50" s="2066">
        <f>36600/10000</f>
        <v>3.66</v>
      </c>
      <c r="K50" s="2070" t="s">
        <v>622</v>
      </c>
      <c r="L50" s="2067">
        <f>'[1]бак'!$J$275</f>
        <v>2.893132</v>
      </c>
      <c r="M50" s="2068">
        <f>J50+L50</f>
        <v>6.553132</v>
      </c>
      <c r="N50" s="2069" t="s">
        <v>622</v>
      </c>
      <c r="O50" s="1700">
        <f>M50/10000</f>
        <v>0.0006553132</v>
      </c>
      <c r="P50" s="1705" t="s">
        <v>622</v>
      </c>
      <c r="R50" s="1193">
        <f t="shared" si="0"/>
        <v>36600</v>
      </c>
      <c r="S50" s="973">
        <v>30500</v>
      </c>
    </row>
    <row r="51" spans="1:19" ht="29.25" customHeight="1">
      <c r="A51" s="975" t="s">
        <v>378</v>
      </c>
      <c r="B51" s="2437" t="s">
        <v>225</v>
      </c>
      <c r="C51" s="2438"/>
      <c r="D51" s="2438"/>
      <c r="E51" s="2438"/>
      <c r="F51" s="2438"/>
      <c r="G51" s="2438"/>
      <c r="H51" s="2439"/>
      <c r="I51" s="217"/>
      <c r="J51" s="2066"/>
      <c r="K51" s="1994"/>
      <c r="L51" s="2067"/>
      <c r="M51" s="2068"/>
      <c r="N51" s="2069"/>
      <c r="O51" s="1585"/>
      <c r="P51" s="1705"/>
      <c r="R51" s="151"/>
      <c r="S51" s="973"/>
    </row>
    <row r="52" spans="1:19" ht="17.25">
      <c r="A52" s="970" t="s">
        <v>379</v>
      </c>
      <c r="B52" s="127" t="s">
        <v>226</v>
      </c>
      <c r="C52" s="127"/>
      <c r="D52" s="127"/>
      <c r="E52" s="127"/>
      <c r="F52" s="127"/>
      <c r="G52" s="127"/>
      <c r="H52" s="379"/>
      <c r="I52" s="216" t="s">
        <v>945</v>
      </c>
      <c r="J52" s="2066">
        <f>44000/10000</f>
        <v>4.4</v>
      </c>
      <c r="K52" s="2070" t="s">
        <v>622</v>
      </c>
      <c r="L52" s="2076">
        <f>'[1]бак'!$J$287</f>
        <v>3.1017228</v>
      </c>
      <c r="M52" s="2068">
        <f>J52+L52</f>
        <v>7.5017228000000005</v>
      </c>
      <c r="N52" s="2069" t="s">
        <v>622</v>
      </c>
      <c r="O52" s="1700">
        <f>M52/10000</f>
        <v>0.0007501722800000001</v>
      </c>
      <c r="P52" s="1705" t="s">
        <v>622</v>
      </c>
      <c r="R52" s="1193">
        <f>S52*1.2</f>
        <v>44040</v>
      </c>
      <c r="S52" s="973">
        <v>36700</v>
      </c>
    </row>
    <row r="53" spans="1:19" ht="17.25">
      <c r="A53" s="976" t="s">
        <v>380</v>
      </c>
      <c r="B53" s="1696" t="s">
        <v>227</v>
      </c>
      <c r="C53" s="127"/>
      <c r="D53" s="127"/>
      <c r="E53" s="127"/>
      <c r="F53" s="127"/>
      <c r="G53" s="127"/>
      <c r="H53" s="379"/>
      <c r="I53" s="217"/>
      <c r="J53" s="2066"/>
      <c r="K53" s="1994"/>
      <c r="L53" s="2067"/>
      <c r="M53" s="2068"/>
      <c r="N53" s="2069"/>
      <c r="O53" s="1585"/>
      <c r="P53" s="1705"/>
      <c r="R53" s="151"/>
      <c r="S53" s="973"/>
    </row>
    <row r="54" spans="1:19" ht="17.25" hidden="1">
      <c r="A54" s="970">
        <v>1</v>
      </c>
      <c r="B54" s="127" t="s">
        <v>228</v>
      </c>
      <c r="C54" s="127"/>
      <c r="D54" s="127"/>
      <c r="E54" s="127"/>
      <c r="F54" s="127"/>
      <c r="G54" s="127"/>
      <c r="H54" s="379"/>
      <c r="I54" s="217"/>
      <c r="J54" s="2066"/>
      <c r="K54" s="1994"/>
      <c r="L54" s="2067"/>
      <c r="M54" s="2068"/>
      <c r="N54" s="2069"/>
      <c r="O54" s="1585"/>
      <c r="P54" s="1705"/>
      <c r="R54" s="151"/>
      <c r="S54" s="973"/>
    </row>
    <row r="55" spans="1:19" ht="17.25" hidden="1">
      <c r="A55" s="968" t="s">
        <v>622</v>
      </c>
      <c r="B55" s="127" t="s">
        <v>212</v>
      </c>
      <c r="C55" s="127"/>
      <c r="D55" s="127"/>
      <c r="E55" s="127"/>
      <c r="F55" s="127"/>
      <c r="G55" s="127"/>
      <c r="H55" s="379"/>
      <c r="I55" s="216" t="s">
        <v>945</v>
      </c>
      <c r="J55" s="2066">
        <v>14150</v>
      </c>
      <c r="K55" s="2070" t="s">
        <v>622</v>
      </c>
      <c r="L55" s="2067"/>
      <c r="M55" s="2068">
        <f>J55+L55</f>
        <v>14150</v>
      </c>
      <c r="N55" s="2069"/>
      <c r="O55" s="1585"/>
      <c r="P55" s="1705"/>
      <c r="R55" s="151"/>
      <c r="S55" s="973">
        <v>14150</v>
      </c>
    </row>
    <row r="56" spans="1:19" ht="17.25" hidden="1">
      <c r="A56" s="968" t="s">
        <v>622</v>
      </c>
      <c r="B56" s="127" t="s">
        <v>213</v>
      </c>
      <c r="C56" s="127"/>
      <c r="D56" s="127"/>
      <c r="E56" s="127"/>
      <c r="F56" s="127"/>
      <c r="G56" s="127"/>
      <c r="H56" s="379"/>
      <c r="I56" s="216" t="s">
        <v>945</v>
      </c>
      <c r="J56" s="2066">
        <v>13150</v>
      </c>
      <c r="K56" s="2070" t="s">
        <v>622</v>
      </c>
      <c r="L56" s="2067"/>
      <c r="M56" s="2077">
        <f>J56+L56</f>
        <v>13150</v>
      </c>
      <c r="N56" s="2069"/>
      <c r="O56" s="1585"/>
      <c r="P56" s="1705"/>
      <c r="R56" s="151"/>
      <c r="S56" s="973">
        <v>13150</v>
      </c>
    </row>
    <row r="57" spans="1:19" ht="17.25" hidden="1">
      <c r="A57" s="968" t="s">
        <v>622</v>
      </c>
      <c r="B57" s="127" t="s">
        <v>214</v>
      </c>
      <c r="C57" s="127"/>
      <c r="D57" s="127"/>
      <c r="E57" s="127"/>
      <c r="F57" s="127"/>
      <c r="G57" s="127"/>
      <c r="H57" s="379"/>
      <c r="I57" s="216" t="s">
        <v>945</v>
      </c>
      <c r="J57" s="2066">
        <v>15750</v>
      </c>
      <c r="K57" s="2070" t="s">
        <v>622</v>
      </c>
      <c r="L57" s="2067"/>
      <c r="M57" s="2077">
        <f>J57+L57</f>
        <v>15750</v>
      </c>
      <c r="N57" s="2069"/>
      <c r="O57" s="1585"/>
      <c r="P57" s="1705"/>
      <c r="R57" s="151"/>
      <c r="S57" s="973">
        <v>15750</v>
      </c>
    </row>
    <row r="58" spans="1:19" ht="17.25" hidden="1">
      <c r="A58" s="968" t="s">
        <v>622</v>
      </c>
      <c r="B58" s="127" t="s">
        <v>215</v>
      </c>
      <c r="C58" s="127"/>
      <c r="D58" s="127"/>
      <c r="E58" s="127"/>
      <c r="F58" s="127"/>
      <c r="G58" s="127"/>
      <c r="H58" s="379"/>
      <c r="I58" s="216" t="s">
        <v>945</v>
      </c>
      <c r="J58" s="2066">
        <v>8500</v>
      </c>
      <c r="K58" s="2070" t="s">
        <v>622</v>
      </c>
      <c r="L58" s="2067"/>
      <c r="M58" s="2077">
        <f>J58+L58</f>
        <v>8500</v>
      </c>
      <c r="N58" s="2069"/>
      <c r="O58" s="1585"/>
      <c r="P58" s="1705"/>
      <c r="R58" s="151"/>
      <c r="S58" s="973">
        <v>8500</v>
      </c>
    </row>
    <row r="59" spans="1:19" ht="63.75" customHeight="1" thickBot="1">
      <c r="A59" s="971" t="s">
        <v>381</v>
      </c>
      <c r="B59" s="2432" t="s">
        <v>229</v>
      </c>
      <c r="C59" s="2433"/>
      <c r="D59" s="2433"/>
      <c r="E59" s="2433"/>
      <c r="F59" s="2433"/>
      <c r="G59" s="2433"/>
      <c r="H59" s="2434"/>
      <c r="I59" s="507" t="s">
        <v>945</v>
      </c>
      <c r="J59" s="2078">
        <f>18200/10000</f>
        <v>1.82</v>
      </c>
      <c r="K59" s="2079" t="s">
        <v>622</v>
      </c>
      <c r="L59" s="2080">
        <f>'[1]бак'!$J$367</f>
        <v>12.389899999999999</v>
      </c>
      <c r="M59" s="2081">
        <f>J59+L59</f>
        <v>14.2099</v>
      </c>
      <c r="N59" s="2082" t="s">
        <v>622</v>
      </c>
      <c r="O59" s="1707">
        <f>M59/10000</f>
        <v>0.00142099</v>
      </c>
      <c r="P59" s="1708" t="s">
        <v>622</v>
      </c>
      <c r="R59" s="1193">
        <f>S59*1.2</f>
        <v>18240</v>
      </c>
      <c r="S59" s="977">
        <v>15200</v>
      </c>
    </row>
    <row r="61" spans="1:16" s="151" customFormat="1" ht="15.75">
      <c r="A61" s="325" t="str">
        <f>'прейск-т'!A1212</f>
        <v>Главный бухгалтер</v>
      </c>
      <c r="B61" s="167"/>
      <c r="C61" s="167"/>
      <c r="D61" s="167"/>
      <c r="E61" s="167"/>
      <c r="F61" s="167"/>
      <c r="G61" s="167"/>
      <c r="H61" s="167"/>
      <c r="I61" s="325"/>
      <c r="J61" s="166"/>
      <c r="K61" s="325" t="str">
        <f>'лаб-рия'!N899</f>
        <v>М.В. Ровгач</v>
      </c>
      <c r="L61" s="1704"/>
      <c r="M61" s="325"/>
      <c r="O61" s="325"/>
      <c r="P61" s="165"/>
    </row>
    <row r="62" spans="1:16" s="151" customFormat="1" ht="15.75">
      <c r="A62" s="1709"/>
      <c r="B62" s="167"/>
      <c r="C62" s="167"/>
      <c r="D62" s="167"/>
      <c r="E62" s="167"/>
      <c r="F62" s="167"/>
      <c r="G62" s="167"/>
      <c r="H62" s="167"/>
      <c r="I62" s="325"/>
      <c r="J62" s="166"/>
      <c r="K62" s="325"/>
      <c r="L62" s="1704"/>
      <c r="M62" s="325"/>
      <c r="O62" s="325"/>
      <c r="P62" s="165"/>
    </row>
    <row r="63" spans="1:16" s="151" customFormat="1" ht="15.75">
      <c r="A63" s="325" t="str">
        <f>'прейск-т'!A1215</f>
        <v>Бухгалтер</v>
      </c>
      <c r="B63" s="834"/>
      <c r="C63" s="165"/>
      <c r="D63" s="165"/>
      <c r="E63" s="165"/>
      <c r="F63" s="165"/>
      <c r="G63" s="834"/>
      <c r="H63" s="834"/>
      <c r="I63" s="834"/>
      <c r="J63" s="834"/>
      <c r="K63" s="325" t="str">
        <f>'лаб-рия'!N901</f>
        <v>О.Н.Гаркавая</v>
      </c>
      <c r="L63" s="165"/>
      <c r="M63" s="325"/>
      <c r="O63" s="325"/>
      <c r="P63" s="165"/>
    </row>
    <row r="64" spans="1:16" s="151" customFormat="1" ht="15.75">
      <c r="A64" s="325"/>
      <c r="B64" s="834"/>
      <c r="C64" s="165"/>
      <c r="D64" s="165"/>
      <c r="E64" s="165"/>
      <c r="F64" s="165"/>
      <c r="G64" s="834"/>
      <c r="H64" s="834"/>
      <c r="I64" s="834"/>
      <c r="J64" s="834"/>
      <c r="K64" s="325"/>
      <c r="L64" s="165"/>
      <c r="M64" s="325"/>
      <c r="O64" s="325"/>
      <c r="P64" s="165"/>
    </row>
    <row r="65" spans="1:16" s="151" customFormat="1" ht="15.75">
      <c r="A65" s="325" t="str">
        <f>'прейск-т'!A1218</f>
        <v>Начальник  ПЭО</v>
      </c>
      <c r="B65" s="165"/>
      <c r="C65" s="165"/>
      <c r="D65" s="165"/>
      <c r="E65" s="165"/>
      <c r="F65" s="165"/>
      <c r="G65" s="834"/>
      <c r="H65" s="834"/>
      <c r="I65" s="834"/>
      <c r="J65" s="834"/>
      <c r="K65" s="325" t="str">
        <f>'лаб-рия'!N903</f>
        <v>В.К.Лысая</v>
      </c>
      <c r="L65" s="165"/>
      <c r="M65" s="325"/>
      <c r="O65" s="325"/>
      <c r="P65" s="165"/>
    </row>
    <row r="66" spans="1:16" s="151" customFormat="1" ht="15.75">
      <c r="A66" s="325"/>
      <c r="B66" s="165"/>
      <c r="C66" s="165"/>
      <c r="D66" s="165"/>
      <c r="E66" s="165"/>
      <c r="F66" s="165"/>
      <c r="G66" s="834"/>
      <c r="H66" s="834"/>
      <c r="I66" s="834"/>
      <c r="J66" s="834"/>
      <c r="K66" s="325"/>
      <c r="L66" s="165"/>
      <c r="M66" s="325"/>
      <c r="O66" s="325"/>
      <c r="P66" s="165"/>
    </row>
    <row r="67" spans="1:16" s="151" customFormat="1" ht="15.75">
      <c r="A67" s="325" t="s">
        <v>831</v>
      </c>
      <c r="B67" s="165"/>
      <c r="C67" s="165"/>
      <c r="D67" s="165"/>
      <c r="E67" s="165"/>
      <c r="F67" s="165"/>
      <c r="G67" s="834"/>
      <c r="H67" s="834"/>
      <c r="I67" s="834"/>
      <c r="J67" s="834"/>
      <c r="K67" s="325" t="str">
        <f>'лаб-рия'!N905</f>
        <v>Е.О.Андреева</v>
      </c>
      <c r="L67" s="165"/>
      <c r="M67" s="325"/>
      <c r="O67" s="325"/>
      <c r="P67" s="165"/>
    </row>
    <row r="68" spans="1:15" s="151" customFormat="1" ht="15">
      <c r="A68" s="245"/>
      <c r="G68" s="482"/>
      <c r="H68" s="482"/>
      <c r="I68" s="482"/>
      <c r="J68" s="482"/>
      <c r="K68" s="490"/>
      <c r="L68" s="151" t="str">
        <f>L1</f>
        <v>УТВЕРЖДАЮ</v>
      </c>
      <c r="M68" s="245"/>
      <c r="N68" s="245"/>
      <c r="O68" s="245"/>
    </row>
    <row r="69" spans="1:16" s="151" customFormat="1" ht="15">
      <c r="A69" s="245"/>
      <c r="G69" s="482"/>
      <c r="H69" s="482"/>
      <c r="I69" s="482"/>
      <c r="J69" s="482"/>
      <c r="K69" s="490" t="str">
        <f>K2</f>
        <v>Главный врач Слонимской ЦРБ</v>
      </c>
      <c r="M69" s="245"/>
      <c r="N69" s="245"/>
      <c r="O69" s="245"/>
      <c r="P69" s="1702" t="str">
        <f aca="true" t="shared" si="1" ref="N69:P71">P2</f>
        <v>Главный врач Слонимской ЦРБ</v>
      </c>
    </row>
    <row r="70" spans="9:16" ht="15">
      <c r="I70" s="149"/>
      <c r="K70" s="151" t="str">
        <f>L3</f>
        <v>Г.М. Моисеенкова</v>
      </c>
      <c r="L70" s="152"/>
      <c r="M70" s="151"/>
      <c r="N70" s="151"/>
      <c r="O70" s="151"/>
      <c r="P70" s="1702" t="str">
        <f t="shared" si="1"/>
        <v>Г.М. Моисеенкова</v>
      </c>
    </row>
    <row r="71" spans="11:16" ht="15">
      <c r="K71" s="151"/>
      <c r="L71" s="2095">
        <f>L4</f>
        <v>1</v>
      </c>
      <c r="M71" s="151" t="str">
        <f>M4</f>
        <v>июля</v>
      </c>
      <c r="N71" s="1702" t="str">
        <f t="shared" si="1"/>
        <v>2017 г.</v>
      </c>
      <c r="O71" s="1702" t="str">
        <f t="shared" si="1"/>
        <v>июля</v>
      </c>
      <c r="P71" s="1702" t="str">
        <f t="shared" si="1"/>
        <v>2017 г.</v>
      </c>
    </row>
    <row r="72" spans="1:16" s="154" customFormat="1" ht="27" customHeight="1" hidden="1">
      <c r="A72" s="2247" t="s">
        <v>438</v>
      </c>
      <c r="B72" s="2247"/>
      <c r="C72" s="2247"/>
      <c r="D72" s="2247"/>
      <c r="E72" s="2247"/>
      <c r="F72" s="2247"/>
      <c r="G72" s="2247"/>
      <c r="H72" s="2247"/>
      <c r="I72" s="2247"/>
      <c r="J72" s="2247"/>
      <c r="K72" s="2247"/>
      <c r="L72" s="2247"/>
      <c r="M72" s="2247"/>
      <c r="N72" s="2247"/>
      <c r="O72" s="2247"/>
      <c r="P72" s="2247"/>
    </row>
    <row r="73" spans="1:16" s="157" customFormat="1" ht="12" customHeight="1" hidden="1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6"/>
      <c r="M73" s="155"/>
      <c r="N73" s="155"/>
      <c r="O73" s="155"/>
      <c r="P73" s="155"/>
    </row>
    <row r="74" spans="1:16" s="164" customFormat="1" ht="12" customHeight="1" hidden="1">
      <c r="A74" s="158"/>
      <c r="B74" s="159"/>
      <c r="C74" s="159"/>
      <c r="D74" s="159"/>
      <c r="E74" s="159"/>
      <c r="F74" s="159"/>
      <c r="G74" s="159"/>
      <c r="H74" s="159"/>
      <c r="I74" s="158"/>
      <c r="J74" s="160"/>
      <c r="K74" s="161"/>
      <c r="L74" s="162"/>
      <c r="M74" s="159"/>
      <c r="N74" s="159"/>
      <c r="O74" s="159"/>
      <c r="P74" s="163"/>
    </row>
    <row r="75" spans="1:16" s="165" customFormat="1" ht="15.75" customHeight="1">
      <c r="A75" s="2248" t="s">
        <v>439</v>
      </c>
      <c r="B75" s="2248"/>
      <c r="C75" s="2248"/>
      <c r="D75" s="2248"/>
      <c r="E75" s="2248"/>
      <c r="F75" s="2248"/>
      <c r="G75" s="2248"/>
      <c r="H75" s="2248"/>
      <c r="I75" s="2248"/>
      <c r="J75" s="2248"/>
      <c r="K75" s="2248"/>
      <c r="L75" s="2248"/>
      <c r="M75" s="2248"/>
      <c r="N75" s="2248"/>
      <c r="O75" s="2248"/>
      <c r="P75" s="2248"/>
    </row>
    <row r="76" spans="1:16" s="165" customFormat="1" ht="15.75" customHeight="1">
      <c r="A76" s="2248" t="s">
        <v>402</v>
      </c>
      <c r="B76" s="2248"/>
      <c r="C76" s="2248"/>
      <c r="D76" s="2248"/>
      <c r="E76" s="2248"/>
      <c r="F76" s="2248"/>
      <c r="G76" s="2248"/>
      <c r="H76" s="2248"/>
      <c r="I76" s="2248"/>
      <c r="J76" s="2248"/>
      <c r="K76" s="2248"/>
      <c r="L76" s="2248"/>
      <c r="M76" s="2248"/>
      <c r="N76" s="2248"/>
      <c r="O76" s="2248"/>
      <c r="P76" s="2248"/>
    </row>
    <row r="77" spans="1:12" s="165" customFormat="1" ht="10.5" customHeight="1">
      <c r="A77" s="158"/>
      <c r="B77" s="167"/>
      <c r="C77" s="167"/>
      <c r="D77" s="167"/>
      <c r="E77" s="167"/>
      <c r="F77" s="167"/>
      <c r="G77" s="168"/>
      <c r="H77" s="167"/>
      <c r="I77" s="169"/>
      <c r="L77" s="170"/>
    </row>
    <row r="78" spans="1:12" s="177" customFormat="1" ht="15">
      <c r="A78" s="962"/>
      <c r="B78" s="153" t="str">
        <f>'лаб-рия'!B551</f>
        <v>вводится с </v>
      </c>
      <c r="C78" s="490" t="str">
        <f>'лаб-рия'!C551</f>
        <v>01.07.2017г.</v>
      </c>
      <c r="D78" s="173"/>
      <c r="E78" s="174"/>
      <c r="F78" s="174"/>
      <c r="G78" s="175"/>
      <c r="H78" s="174"/>
      <c r="I78" s="176"/>
      <c r="L78" s="178"/>
    </row>
    <row r="79" spans="1:16" s="177" customFormat="1" ht="15.75">
      <c r="A79" s="2443" t="s">
        <v>259</v>
      </c>
      <c r="B79" s="1581"/>
      <c r="C79" s="1581"/>
      <c r="D79" s="1581"/>
      <c r="E79" s="1682"/>
      <c r="F79" s="1581"/>
      <c r="G79" s="1581"/>
      <c r="H79" s="266"/>
      <c r="I79" s="515"/>
      <c r="J79" s="2446" t="s">
        <v>447</v>
      </c>
      <c r="K79" s="2447"/>
      <c r="L79" s="1684" t="s">
        <v>923</v>
      </c>
      <c r="M79" s="2303" t="s">
        <v>443</v>
      </c>
      <c r="N79" s="2304"/>
      <c r="O79" s="2304"/>
      <c r="P79" s="2305"/>
    </row>
    <row r="80" spans="1:16" s="177" customFormat="1" ht="15.75">
      <c r="A80" s="2444"/>
      <c r="B80" s="149"/>
      <c r="C80" s="149"/>
      <c r="D80" s="149"/>
      <c r="E80" s="149"/>
      <c r="F80" s="149"/>
      <c r="G80" s="149"/>
      <c r="H80" s="219"/>
      <c r="I80" s="122"/>
      <c r="J80" s="2435"/>
      <c r="K80" s="2436"/>
      <c r="L80" s="218" t="s">
        <v>924</v>
      </c>
      <c r="M80" s="2306" t="s">
        <v>233</v>
      </c>
      <c r="N80" s="2307"/>
      <c r="O80" s="2307"/>
      <c r="P80" s="2308"/>
    </row>
    <row r="81" spans="1:16" s="177" customFormat="1" ht="34.5" customHeight="1">
      <c r="A81" s="2444"/>
      <c r="B81" s="149"/>
      <c r="C81" s="149"/>
      <c r="D81" s="149"/>
      <c r="E81" s="119" t="s">
        <v>445</v>
      </c>
      <c r="F81" s="149"/>
      <c r="G81" s="149"/>
      <c r="H81" s="219"/>
      <c r="I81" s="1688" t="s">
        <v>513</v>
      </c>
      <c r="J81" s="1683" t="s">
        <v>926</v>
      </c>
      <c r="K81" s="1685" t="s">
        <v>927</v>
      </c>
      <c r="L81" s="218" t="s">
        <v>448</v>
      </c>
      <c r="M81" s="2349" t="s">
        <v>509</v>
      </c>
      <c r="N81" s="2350"/>
      <c r="O81" s="2349" t="s">
        <v>510</v>
      </c>
      <c r="P81" s="2350"/>
    </row>
    <row r="82" spans="1:16" s="177" customFormat="1" ht="15.75">
      <c r="A82" s="2444"/>
      <c r="B82" s="119"/>
      <c r="C82" s="119"/>
      <c r="D82" s="119"/>
      <c r="E82" s="119"/>
      <c r="F82" s="149"/>
      <c r="G82" s="149"/>
      <c r="H82" s="122"/>
      <c r="I82" s="122" t="s">
        <v>928</v>
      </c>
      <c r="J82" s="217" t="s">
        <v>929</v>
      </c>
      <c r="K82" s="121" t="s">
        <v>930</v>
      </c>
      <c r="L82" s="218" t="s">
        <v>452</v>
      </c>
      <c r="M82" s="1560" t="s">
        <v>926</v>
      </c>
      <c r="N82" s="1564" t="s">
        <v>927</v>
      </c>
      <c r="O82" s="1561" t="s">
        <v>926</v>
      </c>
      <c r="P82" s="1564" t="s">
        <v>927</v>
      </c>
    </row>
    <row r="83" spans="1:16" s="201" customFormat="1" ht="15.75">
      <c r="A83" s="2444"/>
      <c r="B83" s="149"/>
      <c r="C83" s="149"/>
      <c r="D83" s="149"/>
      <c r="E83" s="149"/>
      <c r="F83" s="149"/>
      <c r="G83" s="119"/>
      <c r="H83" s="122"/>
      <c r="I83" s="122" t="s">
        <v>931</v>
      </c>
      <c r="J83" s="217"/>
      <c r="K83" s="121" t="s">
        <v>932</v>
      </c>
      <c r="L83" s="1686"/>
      <c r="M83" s="1566" t="s">
        <v>929</v>
      </c>
      <c r="N83" s="1565" t="s">
        <v>930</v>
      </c>
      <c r="O83" s="169" t="s">
        <v>929</v>
      </c>
      <c r="P83" s="1565" t="s">
        <v>930</v>
      </c>
    </row>
    <row r="84" spans="1:16" s="201" customFormat="1" ht="15.75">
      <c r="A84" s="2444"/>
      <c r="B84" s="149"/>
      <c r="C84" s="149"/>
      <c r="D84" s="149"/>
      <c r="E84" s="149"/>
      <c r="F84" s="149"/>
      <c r="G84" s="119"/>
      <c r="H84" s="122"/>
      <c r="I84" s="122"/>
      <c r="J84" s="217"/>
      <c r="K84" s="121"/>
      <c r="L84" s="1686"/>
      <c r="M84" s="1566"/>
      <c r="N84" s="1565" t="s">
        <v>932</v>
      </c>
      <c r="O84" s="169"/>
      <c r="P84" s="1565" t="s">
        <v>932</v>
      </c>
    </row>
    <row r="85" spans="1:16" s="201" customFormat="1" ht="15.75">
      <c r="A85" s="2445"/>
      <c r="B85" s="278"/>
      <c r="C85" s="278"/>
      <c r="D85" s="278"/>
      <c r="E85" s="278"/>
      <c r="F85" s="278"/>
      <c r="G85" s="278"/>
      <c r="H85" s="324"/>
      <c r="I85" s="120"/>
      <c r="J85" s="1049" t="s">
        <v>933</v>
      </c>
      <c r="K85" s="234" t="s">
        <v>457</v>
      </c>
      <c r="L85" s="1687" t="s">
        <v>457</v>
      </c>
      <c r="M85" s="1562" t="s">
        <v>457</v>
      </c>
      <c r="N85" s="1567" t="s">
        <v>457</v>
      </c>
      <c r="O85" s="1563" t="s">
        <v>457</v>
      </c>
      <c r="P85" s="1567" t="s">
        <v>457</v>
      </c>
    </row>
    <row r="86" spans="1:16" s="151" customFormat="1" ht="15.75">
      <c r="A86" s="963"/>
      <c r="B86" s="1691" t="s">
        <v>934</v>
      </c>
      <c r="C86" s="1680"/>
      <c r="D86" s="1680"/>
      <c r="E86" s="1680"/>
      <c r="F86" s="1680"/>
      <c r="G86" s="1680"/>
      <c r="H86" s="1681"/>
      <c r="I86" s="485"/>
      <c r="J86" s="486"/>
      <c r="K86" s="487"/>
      <c r="L86" s="488"/>
      <c r="M86" s="489"/>
      <c r="N86" s="949"/>
      <c r="O86" s="489"/>
      <c r="P86" s="505"/>
    </row>
    <row r="87" spans="1:16" ht="15.75">
      <c r="A87" s="964" t="s">
        <v>347</v>
      </c>
      <c r="B87" s="1692" t="s">
        <v>64</v>
      </c>
      <c r="C87" s="127"/>
      <c r="D87" s="127"/>
      <c r="E87" s="127"/>
      <c r="F87" s="127"/>
      <c r="G87" s="127"/>
      <c r="H87" s="379"/>
      <c r="I87" s="217"/>
      <c r="J87" s="123"/>
      <c r="K87" s="149"/>
      <c r="L87" s="299"/>
      <c r="M87" s="149"/>
      <c r="N87" s="123"/>
      <c r="O87" s="149"/>
      <c r="P87" s="506"/>
    </row>
    <row r="88" spans="1:16" ht="46.5" customHeight="1">
      <c r="A88" s="965" t="s">
        <v>614</v>
      </c>
      <c r="B88" s="2437" t="s">
        <v>232</v>
      </c>
      <c r="C88" s="2438"/>
      <c r="D88" s="2438"/>
      <c r="E88" s="2438"/>
      <c r="F88" s="2438"/>
      <c r="G88" s="2438"/>
      <c r="H88" s="2439"/>
      <c r="I88" s="217"/>
      <c r="J88" s="123"/>
      <c r="K88" s="149"/>
      <c r="L88" s="1297"/>
      <c r="M88" s="483"/>
      <c r="N88" s="213"/>
      <c r="O88" s="483"/>
      <c r="P88" s="506"/>
    </row>
    <row r="89" spans="1:19" s="653" customFormat="1" ht="17.25">
      <c r="A89" s="966" t="s">
        <v>348</v>
      </c>
      <c r="B89" s="1693" t="s">
        <v>210</v>
      </c>
      <c r="C89" s="1693"/>
      <c r="D89" s="1693"/>
      <c r="E89" s="1693"/>
      <c r="F89" s="1693"/>
      <c r="G89" s="1693"/>
      <c r="H89" s="1694"/>
      <c r="I89" s="657" t="s">
        <v>945</v>
      </c>
      <c r="J89" s="2061">
        <f>72800/10000</f>
        <v>7.28</v>
      </c>
      <c r="K89" s="2062" t="s">
        <v>622</v>
      </c>
      <c r="L89" s="2120">
        <f>L22</f>
        <v>0.998332</v>
      </c>
      <c r="M89" s="2088">
        <f>J89+L89</f>
        <v>8.278332</v>
      </c>
      <c r="N89" s="2065" t="s">
        <v>622</v>
      </c>
      <c r="O89" s="1700">
        <f>M89/10000</f>
        <v>0.0008278332000000001</v>
      </c>
      <c r="P89" s="1703" t="s">
        <v>622</v>
      </c>
      <c r="R89" s="1193">
        <f>S89*1.2</f>
        <v>72840</v>
      </c>
      <c r="S89" s="972">
        <v>60700</v>
      </c>
    </row>
    <row r="90" spans="1:19" ht="15.75">
      <c r="A90" s="967" t="s">
        <v>349</v>
      </c>
      <c r="B90" s="127" t="s">
        <v>211</v>
      </c>
      <c r="C90" s="127"/>
      <c r="D90" s="127"/>
      <c r="E90" s="127"/>
      <c r="F90" s="127"/>
      <c r="G90" s="127"/>
      <c r="H90" s="379"/>
      <c r="I90" s="217"/>
      <c r="J90" s="2066"/>
      <c r="K90" s="1994"/>
      <c r="L90" s="2067"/>
      <c r="M90" s="2089"/>
      <c r="N90" s="2069"/>
      <c r="O90" s="483"/>
      <c r="P90" s="1705"/>
      <c r="R90" s="151"/>
      <c r="S90" s="973"/>
    </row>
    <row r="91" spans="1:19" ht="16.5" customHeight="1">
      <c r="A91" s="967" t="s">
        <v>350</v>
      </c>
      <c r="B91" s="127" t="s">
        <v>212</v>
      </c>
      <c r="C91" s="127"/>
      <c r="D91" s="127"/>
      <c r="E91" s="127"/>
      <c r="F91" s="127"/>
      <c r="G91" s="127"/>
      <c r="H91" s="379"/>
      <c r="I91" s="216" t="s">
        <v>945</v>
      </c>
      <c r="J91" s="2071">
        <f>218900/10000</f>
        <v>21.89</v>
      </c>
      <c r="K91" s="2070" t="s">
        <v>622</v>
      </c>
      <c r="L91" s="2063">
        <f>L24</f>
        <v>5.389772000000001</v>
      </c>
      <c r="M91" s="2089">
        <f>J91+L91</f>
        <v>27.279772</v>
      </c>
      <c r="N91" s="2069" t="s">
        <v>622</v>
      </c>
      <c r="O91" s="1700">
        <f>M91/10000</f>
        <v>0.0027279772</v>
      </c>
      <c r="P91" s="1705" t="s">
        <v>622</v>
      </c>
      <c r="R91" s="1193">
        <f>S91*1.2</f>
        <v>218880</v>
      </c>
      <c r="S91" s="1146">
        <v>182400</v>
      </c>
    </row>
    <row r="92" spans="1:19" ht="16.5" customHeight="1">
      <c r="A92" s="967" t="s">
        <v>351</v>
      </c>
      <c r="B92" s="127" t="s">
        <v>213</v>
      </c>
      <c r="C92" s="127"/>
      <c r="D92" s="127"/>
      <c r="E92" s="127"/>
      <c r="F92" s="127"/>
      <c r="G92" s="127"/>
      <c r="H92" s="379"/>
      <c r="I92" s="216" t="s">
        <v>945</v>
      </c>
      <c r="J92" s="2071">
        <f>214600/10000</f>
        <v>21.46</v>
      </c>
      <c r="K92" s="2070" t="s">
        <v>622</v>
      </c>
      <c r="L92" s="2063">
        <f>L25</f>
        <v>4.506437</v>
      </c>
      <c r="M92" s="2089">
        <f>J92+L92</f>
        <v>25.966437</v>
      </c>
      <c r="N92" s="2069" t="s">
        <v>622</v>
      </c>
      <c r="O92" s="1700">
        <f>M92/10000</f>
        <v>0.0025966437</v>
      </c>
      <c r="P92" s="1705" t="s">
        <v>622</v>
      </c>
      <c r="R92" s="1193">
        <f>S92*1.2</f>
        <v>214560</v>
      </c>
      <c r="S92" s="1146">
        <v>178800</v>
      </c>
    </row>
    <row r="93" spans="1:19" ht="16.5" customHeight="1">
      <c r="A93" s="967" t="s">
        <v>352</v>
      </c>
      <c r="B93" s="127" t="s">
        <v>214</v>
      </c>
      <c r="C93" s="127"/>
      <c r="D93" s="127"/>
      <c r="E93" s="127"/>
      <c r="F93" s="127"/>
      <c r="G93" s="127"/>
      <c r="H93" s="379"/>
      <c r="I93" s="216" t="s">
        <v>945</v>
      </c>
      <c r="J93" s="2066">
        <f>226200/10000</f>
        <v>22.62</v>
      </c>
      <c r="K93" s="2070" t="s">
        <v>622</v>
      </c>
      <c r="L93" s="2063">
        <f>L26</f>
        <v>6.412932</v>
      </c>
      <c r="M93" s="2089">
        <f>J93+L93</f>
        <v>29.032932000000002</v>
      </c>
      <c r="N93" s="2069" t="s">
        <v>622</v>
      </c>
      <c r="O93" s="1700">
        <f>M93/10000</f>
        <v>0.0029032932000000004</v>
      </c>
      <c r="P93" s="1705" t="s">
        <v>622</v>
      </c>
      <c r="R93" s="1193">
        <f>S93*1.2</f>
        <v>226200</v>
      </c>
      <c r="S93" s="973">
        <v>188500</v>
      </c>
    </row>
    <row r="94" spans="1:19" ht="17.25">
      <c r="A94" s="967" t="s">
        <v>353</v>
      </c>
      <c r="B94" s="127" t="s">
        <v>215</v>
      </c>
      <c r="C94" s="127"/>
      <c r="D94" s="127"/>
      <c r="E94" s="127"/>
      <c r="F94" s="127"/>
      <c r="G94" s="127"/>
      <c r="H94" s="379"/>
      <c r="I94" s="216" t="s">
        <v>945</v>
      </c>
      <c r="J94" s="2066">
        <f>194800/10000</f>
        <v>19.48</v>
      </c>
      <c r="K94" s="2070" t="s">
        <v>622</v>
      </c>
      <c r="L94" s="2063">
        <f>L27</f>
        <v>5.097132</v>
      </c>
      <c r="M94" s="2089">
        <f>J94+L94</f>
        <v>24.577132</v>
      </c>
      <c r="N94" s="2069" t="s">
        <v>622</v>
      </c>
      <c r="O94" s="1700">
        <f>M94/10000</f>
        <v>0.0024577132</v>
      </c>
      <c r="P94" s="1705" t="s">
        <v>622</v>
      </c>
      <c r="R94" s="1193">
        <f>S94*1.2</f>
        <v>194760</v>
      </c>
      <c r="S94" s="973">
        <v>162300</v>
      </c>
    </row>
    <row r="95" spans="1:19" ht="30.75" customHeight="1">
      <c r="A95" s="967" t="s">
        <v>354</v>
      </c>
      <c r="B95" s="2437" t="s">
        <v>217</v>
      </c>
      <c r="C95" s="2438"/>
      <c r="D95" s="2438"/>
      <c r="E95" s="2438"/>
      <c r="F95" s="2438"/>
      <c r="G95" s="2438"/>
      <c r="H95" s="2439"/>
      <c r="I95" s="217"/>
      <c r="J95" s="1998"/>
      <c r="K95" s="1994"/>
      <c r="L95" s="2067"/>
      <c r="M95" s="2089"/>
      <c r="N95" s="2069"/>
      <c r="O95" s="483"/>
      <c r="P95" s="1705"/>
      <c r="R95" s="151"/>
      <c r="S95" s="123"/>
    </row>
    <row r="96" spans="1:19" ht="15.75">
      <c r="A96" s="967" t="s">
        <v>355</v>
      </c>
      <c r="B96" s="127" t="s">
        <v>211</v>
      </c>
      <c r="C96" s="127"/>
      <c r="D96" s="127"/>
      <c r="E96" s="127"/>
      <c r="F96" s="127"/>
      <c r="G96" s="127"/>
      <c r="H96" s="379"/>
      <c r="I96" s="217"/>
      <c r="J96" s="1998"/>
      <c r="K96" s="1994"/>
      <c r="L96" s="2067"/>
      <c r="M96" s="2089"/>
      <c r="N96" s="2069"/>
      <c r="O96" s="483"/>
      <c r="P96" s="1705"/>
      <c r="R96" s="151"/>
      <c r="S96" s="123"/>
    </row>
    <row r="97" spans="1:19" ht="17.25">
      <c r="A97" s="967" t="s">
        <v>356</v>
      </c>
      <c r="B97" s="127" t="s">
        <v>212</v>
      </c>
      <c r="C97" s="127"/>
      <c r="D97" s="127"/>
      <c r="E97" s="127"/>
      <c r="F97" s="127"/>
      <c r="G97" s="127"/>
      <c r="H97" s="379"/>
      <c r="I97" s="216" t="s">
        <v>945</v>
      </c>
      <c r="J97" s="2071">
        <f>163400/10000</f>
        <v>16.34</v>
      </c>
      <c r="K97" s="2070" t="s">
        <v>622</v>
      </c>
      <c r="L97" s="2063">
        <f>L30</f>
        <v>3.8726920000000007</v>
      </c>
      <c r="M97" s="2089">
        <f>J97+L97</f>
        <v>20.212692</v>
      </c>
      <c r="N97" s="2069" t="s">
        <v>622</v>
      </c>
      <c r="O97" s="1700">
        <f>M97/10000</f>
        <v>0.0020212692</v>
      </c>
      <c r="P97" s="1705" t="s">
        <v>622</v>
      </c>
      <c r="R97" s="1193">
        <f>S97*1.2</f>
        <v>163440</v>
      </c>
      <c r="S97" s="1146">
        <v>136200</v>
      </c>
    </row>
    <row r="98" spans="1:19" ht="17.25">
      <c r="A98" s="967" t="s">
        <v>357</v>
      </c>
      <c r="B98" s="127" t="s">
        <v>213</v>
      </c>
      <c r="C98" s="127"/>
      <c r="D98" s="127"/>
      <c r="E98" s="127"/>
      <c r="F98" s="127"/>
      <c r="G98" s="127"/>
      <c r="H98" s="379"/>
      <c r="I98" s="216" t="s">
        <v>945</v>
      </c>
      <c r="J98" s="2066">
        <f>159100/10000</f>
        <v>15.91</v>
      </c>
      <c r="K98" s="2070" t="s">
        <v>622</v>
      </c>
      <c r="L98" s="2063">
        <f>L31</f>
        <v>3.0564370000000003</v>
      </c>
      <c r="M98" s="2089">
        <f>J98+L98</f>
        <v>18.966437</v>
      </c>
      <c r="N98" s="2069" t="s">
        <v>622</v>
      </c>
      <c r="O98" s="1700">
        <f>M98/10000</f>
        <v>0.0018966437</v>
      </c>
      <c r="P98" s="1705" t="s">
        <v>622</v>
      </c>
      <c r="Q98" s="149"/>
      <c r="R98" s="1193">
        <f>S98*1.2</f>
        <v>159120</v>
      </c>
      <c r="S98" s="973">
        <v>132600</v>
      </c>
    </row>
    <row r="99" spans="1:19" ht="17.25">
      <c r="A99" s="968" t="s">
        <v>358</v>
      </c>
      <c r="B99" s="127" t="s">
        <v>214</v>
      </c>
      <c r="C99" s="127"/>
      <c r="D99" s="127"/>
      <c r="E99" s="127"/>
      <c r="F99" s="127"/>
      <c r="G99" s="127"/>
      <c r="H99" s="379"/>
      <c r="I99" s="216" t="s">
        <v>945</v>
      </c>
      <c r="J99" s="2071">
        <f>170900/10000</f>
        <v>17.09</v>
      </c>
      <c r="K99" s="2070" t="s">
        <v>622</v>
      </c>
      <c r="L99" s="2063">
        <f>L32</f>
        <v>30.562802</v>
      </c>
      <c r="M99" s="2089">
        <f>J99+L99</f>
        <v>47.652802</v>
      </c>
      <c r="N99" s="2069" t="s">
        <v>622</v>
      </c>
      <c r="O99" s="1700">
        <f>M99/10000</f>
        <v>0.0047652802</v>
      </c>
      <c r="P99" s="1705" t="s">
        <v>622</v>
      </c>
      <c r="Q99" s="149"/>
      <c r="R99" s="1193">
        <f>S99*1.2</f>
        <v>170880</v>
      </c>
      <c r="S99" s="1146">
        <v>142400</v>
      </c>
    </row>
    <row r="100" spans="1:19" ht="17.25">
      <c r="A100" s="968" t="s">
        <v>359</v>
      </c>
      <c r="B100" s="127" t="s">
        <v>215</v>
      </c>
      <c r="C100" s="127"/>
      <c r="D100" s="127"/>
      <c r="E100" s="127"/>
      <c r="F100" s="127"/>
      <c r="G100" s="127"/>
      <c r="H100" s="379"/>
      <c r="I100" s="216" t="s">
        <v>945</v>
      </c>
      <c r="J100" s="2071">
        <f>138200/10000</f>
        <v>13.82</v>
      </c>
      <c r="K100" s="2070" t="s">
        <v>622</v>
      </c>
      <c r="L100" s="2063">
        <f>L33</f>
        <v>3.103132</v>
      </c>
      <c r="M100" s="2089">
        <f>J100+L100</f>
        <v>16.923132</v>
      </c>
      <c r="N100" s="2069" t="s">
        <v>622</v>
      </c>
      <c r="O100" s="1700">
        <f>M100/10000</f>
        <v>0.0016923131999999998</v>
      </c>
      <c r="P100" s="1705" t="s">
        <v>622</v>
      </c>
      <c r="Q100" s="149"/>
      <c r="R100" s="1193">
        <f>S100*1.2</f>
        <v>138240</v>
      </c>
      <c r="S100" s="1146">
        <v>115200</v>
      </c>
    </row>
    <row r="101" spans="1:19" ht="30" customHeight="1">
      <c r="A101" s="974" t="s">
        <v>360</v>
      </c>
      <c r="B101" s="2440" t="s">
        <v>218</v>
      </c>
      <c r="C101" s="2441"/>
      <c r="D101" s="2441"/>
      <c r="E101" s="2441"/>
      <c r="F101" s="2441"/>
      <c r="G101" s="2441"/>
      <c r="H101" s="2442"/>
      <c r="I101" s="502"/>
      <c r="J101" s="2066"/>
      <c r="K101" s="2072"/>
      <c r="L101" s="2067"/>
      <c r="M101" s="2090"/>
      <c r="N101" s="2074"/>
      <c r="O101" s="504"/>
      <c r="P101" s="1706"/>
      <c r="Q101" s="149"/>
      <c r="R101" s="207"/>
      <c r="S101" s="973"/>
    </row>
    <row r="102" spans="1:19" ht="15.75">
      <c r="A102" s="969" t="s">
        <v>361</v>
      </c>
      <c r="B102" s="1678" t="s">
        <v>219</v>
      </c>
      <c r="C102" s="1678"/>
      <c r="D102" s="1678"/>
      <c r="E102" s="1678"/>
      <c r="F102" s="1678"/>
      <c r="G102" s="1678"/>
      <c r="H102" s="1695"/>
      <c r="I102" s="502"/>
      <c r="J102" s="2066"/>
      <c r="K102" s="2072"/>
      <c r="L102" s="2067"/>
      <c r="M102" s="2090"/>
      <c r="N102" s="2074"/>
      <c r="O102" s="504"/>
      <c r="P102" s="1706"/>
      <c r="Q102" s="149"/>
      <c r="R102" s="207"/>
      <c r="S102" s="973"/>
    </row>
    <row r="103" spans="1:19" ht="17.25">
      <c r="A103" s="969" t="s">
        <v>362</v>
      </c>
      <c r="B103" s="1678" t="s">
        <v>220</v>
      </c>
      <c r="C103" s="1678"/>
      <c r="D103" s="1678"/>
      <c r="E103" s="1678"/>
      <c r="F103" s="1678"/>
      <c r="G103" s="1678"/>
      <c r="H103" s="1695"/>
      <c r="I103" s="503" t="s">
        <v>945</v>
      </c>
      <c r="J103" s="2066">
        <f>72800/10000</f>
        <v>7.28</v>
      </c>
      <c r="K103" s="2075" t="s">
        <v>622</v>
      </c>
      <c r="L103" s="2063">
        <f>L36</f>
        <v>4.86142</v>
      </c>
      <c r="M103" s="2090">
        <f>J103+L103</f>
        <v>12.14142</v>
      </c>
      <c r="N103" s="2074" t="s">
        <v>622</v>
      </c>
      <c r="O103" s="1700">
        <f>M103/10000</f>
        <v>0.001214142</v>
      </c>
      <c r="P103" s="1706" t="s">
        <v>622</v>
      </c>
      <c r="Q103" s="149"/>
      <c r="R103" s="1193">
        <f>S103*1.2</f>
        <v>72840</v>
      </c>
      <c r="S103" s="973">
        <v>60700</v>
      </c>
    </row>
    <row r="104" spans="1:19" ht="17.25">
      <c r="A104" s="969" t="s">
        <v>363</v>
      </c>
      <c r="B104" s="1678" t="s">
        <v>221</v>
      </c>
      <c r="C104" s="1678"/>
      <c r="D104" s="1678"/>
      <c r="E104" s="1678"/>
      <c r="F104" s="1678"/>
      <c r="G104" s="1678"/>
      <c r="H104" s="1695"/>
      <c r="I104" s="503" t="s">
        <v>945</v>
      </c>
      <c r="J104" s="2071">
        <f>55700/10000</f>
        <v>5.57</v>
      </c>
      <c r="K104" s="2075" t="s">
        <v>622</v>
      </c>
      <c r="L104" s="2063">
        <f>L37</f>
        <v>4.86142</v>
      </c>
      <c r="M104" s="2090">
        <f>J104+L104</f>
        <v>10.43142</v>
      </c>
      <c r="N104" s="2074" t="s">
        <v>622</v>
      </c>
      <c r="O104" s="1700">
        <f>M104/10000</f>
        <v>0.001043142</v>
      </c>
      <c r="P104" s="1706" t="s">
        <v>622</v>
      </c>
      <c r="Q104" s="149"/>
      <c r="R104" s="1193">
        <f>S104*1.2</f>
        <v>55680</v>
      </c>
      <c r="S104" s="1146">
        <v>46400</v>
      </c>
    </row>
    <row r="105" spans="1:19" ht="17.25">
      <c r="A105" s="969" t="s">
        <v>364</v>
      </c>
      <c r="B105" s="1678" t="s">
        <v>414</v>
      </c>
      <c r="C105" s="1678"/>
      <c r="D105" s="1678"/>
      <c r="E105" s="1678"/>
      <c r="F105" s="1678"/>
      <c r="G105" s="1678"/>
      <c r="H105" s="1695"/>
      <c r="I105" s="503" t="s">
        <v>945</v>
      </c>
      <c r="J105" s="2066">
        <f>94600/10000</f>
        <v>9.46</v>
      </c>
      <c r="K105" s="2075" t="s">
        <v>622</v>
      </c>
      <c r="L105" s="2063">
        <f>L38</f>
        <v>4.86142</v>
      </c>
      <c r="M105" s="2090">
        <f>J105+L105</f>
        <v>14.32142</v>
      </c>
      <c r="N105" s="2074" t="s">
        <v>622</v>
      </c>
      <c r="O105" s="1700">
        <f>M105/10000</f>
        <v>0.001432142</v>
      </c>
      <c r="P105" s="1706" t="s">
        <v>622</v>
      </c>
      <c r="Q105" s="149"/>
      <c r="R105" s="1193">
        <f>S105*1.2</f>
        <v>94560</v>
      </c>
      <c r="S105" s="973">
        <v>78800</v>
      </c>
    </row>
    <row r="106" spans="1:19" ht="15.75">
      <c r="A106" s="969" t="s">
        <v>365</v>
      </c>
      <c r="B106" s="1678" t="s">
        <v>211</v>
      </c>
      <c r="C106" s="1678"/>
      <c r="D106" s="1678"/>
      <c r="E106" s="1678"/>
      <c r="F106" s="1678"/>
      <c r="G106" s="1678"/>
      <c r="H106" s="1695"/>
      <c r="I106" s="502"/>
      <c r="J106" s="2066"/>
      <c r="K106" s="2072"/>
      <c r="L106" s="2067"/>
      <c r="M106" s="2090"/>
      <c r="N106" s="2074"/>
      <c r="O106" s="504"/>
      <c r="P106" s="1706"/>
      <c r="Q106" s="149"/>
      <c r="R106" s="207"/>
      <c r="S106" s="973"/>
    </row>
    <row r="107" spans="1:19" ht="17.25">
      <c r="A107" s="969" t="s">
        <v>366</v>
      </c>
      <c r="B107" s="1678" t="s">
        <v>212</v>
      </c>
      <c r="C107" s="1678"/>
      <c r="D107" s="1678"/>
      <c r="E107" s="1678"/>
      <c r="F107" s="1678"/>
      <c r="G107" s="1678"/>
      <c r="H107" s="1695"/>
      <c r="I107" s="503" t="s">
        <v>945</v>
      </c>
      <c r="J107" s="2066">
        <f>193900/10000</f>
        <v>19.39</v>
      </c>
      <c r="K107" s="2075" t="s">
        <v>622</v>
      </c>
      <c r="L107" s="2063">
        <f>L40</f>
        <v>3.040512</v>
      </c>
      <c r="M107" s="2090">
        <f>J107+L107</f>
        <v>22.430512</v>
      </c>
      <c r="N107" s="2074" t="s">
        <v>622</v>
      </c>
      <c r="O107" s="1700">
        <f>M107/10000</f>
        <v>0.0022430512</v>
      </c>
      <c r="P107" s="1706" t="s">
        <v>622</v>
      </c>
      <c r="Q107" s="149"/>
      <c r="R107" s="1193">
        <f>S107*1.2</f>
        <v>193920</v>
      </c>
      <c r="S107" s="973">
        <v>161600</v>
      </c>
    </row>
    <row r="108" spans="1:19" ht="17.25">
      <c r="A108" s="969" t="s">
        <v>367</v>
      </c>
      <c r="B108" s="1678" t="s">
        <v>213</v>
      </c>
      <c r="C108" s="1678"/>
      <c r="D108" s="1678"/>
      <c r="E108" s="1678"/>
      <c r="F108" s="1678"/>
      <c r="G108" s="1678"/>
      <c r="H108" s="1695"/>
      <c r="I108" s="503" t="s">
        <v>945</v>
      </c>
      <c r="J108" s="2071">
        <f>189600/10000</f>
        <v>18.96</v>
      </c>
      <c r="K108" s="2075" t="s">
        <v>622</v>
      </c>
      <c r="L108" s="2063">
        <f>L41</f>
        <v>2.9345120000000002</v>
      </c>
      <c r="M108" s="2090">
        <f>J108+L108</f>
        <v>21.894512000000002</v>
      </c>
      <c r="N108" s="2074" t="s">
        <v>622</v>
      </c>
      <c r="O108" s="1700">
        <f>M108/10000</f>
        <v>0.0021894512000000003</v>
      </c>
      <c r="P108" s="1706" t="s">
        <v>622</v>
      </c>
      <c r="Q108" s="149"/>
      <c r="R108" s="1193">
        <f>S108*1.2</f>
        <v>189600</v>
      </c>
      <c r="S108" s="1146">
        <v>158000</v>
      </c>
    </row>
    <row r="109" spans="1:19" ht="17.25">
      <c r="A109" s="969" t="s">
        <v>368</v>
      </c>
      <c r="B109" s="1678" t="s">
        <v>214</v>
      </c>
      <c r="C109" s="1678"/>
      <c r="D109" s="1678"/>
      <c r="E109" s="1678"/>
      <c r="F109" s="1678"/>
      <c r="G109" s="1678"/>
      <c r="H109" s="1695"/>
      <c r="I109" s="503" t="s">
        <v>945</v>
      </c>
      <c r="J109" s="2066">
        <f>201200/10000</f>
        <v>20.12</v>
      </c>
      <c r="K109" s="2075" t="s">
        <v>622</v>
      </c>
      <c r="L109" s="2063">
        <f>L42</f>
        <v>2.9345120000000002</v>
      </c>
      <c r="M109" s="2090">
        <f>J109+L109</f>
        <v>23.054512000000003</v>
      </c>
      <c r="N109" s="2074" t="s">
        <v>622</v>
      </c>
      <c r="O109" s="1700">
        <f>M109/10000</f>
        <v>0.0023054512</v>
      </c>
      <c r="P109" s="1706" t="s">
        <v>622</v>
      </c>
      <c r="Q109" s="149"/>
      <c r="R109" s="1193">
        <f>S109*1.2</f>
        <v>201240</v>
      </c>
      <c r="S109" s="973">
        <v>167700</v>
      </c>
    </row>
    <row r="110" spans="1:19" ht="17.25">
      <c r="A110" s="969" t="s">
        <v>369</v>
      </c>
      <c r="B110" s="1678" t="s">
        <v>215</v>
      </c>
      <c r="C110" s="1678"/>
      <c r="D110" s="1678"/>
      <c r="E110" s="1678"/>
      <c r="F110" s="1678"/>
      <c r="G110" s="1678"/>
      <c r="H110" s="1695"/>
      <c r="I110" s="503" t="s">
        <v>945</v>
      </c>
      <c r="J110" s="2066">
        <f>168600/10000</f>
        <v>16.86</v>
      </c>
      <c r="K110" s="2075" t="s">
        <v>622</v>
      </c>
      <c r="L110" s="2063">
        <f>L43</f>
        <v>2.9345120000000002</v>
      </c>
      <c r="M110" s="2090">
        <f>J110+L110</f>
        <v>19.794512</v>
      </c>
      <c r="N110" s="2074" t="s">
        <v>622</v>
      </c>
      <c r="O110" s="1700">
        <f>M110/10000</f>
        <v>0.0019794512</v>
      </c>
      <c r="P110" s="1706" t="s">
        <v>622</v>
      </c>
      <c r="R110" s="1193">
        <f>S110*1.2</f>
        <v>168600</v>
      </c>
      <c r="S110" s="973">
        <v>140500</v>
      </c>
    </row>
    <row r="111" spans="1:19" ht="45.75" customHeight="1">
      <c r="A111" s="967" t="s">
        <v>370</v>
      </c>
      <c r="B111" s="2437" t="s">
        <v>231</v>
      </c>
      <c r="C111" s="2438"/>
      <c r="D111" s="2438"/>
      <c r="E111" s="2438"/>
      <c r="F111" s="2438"/>
      <c r="G111" s="2438"/>
      <c r="H111" s="2439"/>
      <c r="I111" s="217"/>
      <c r="J111" s="2066"/>
      <c r="K111" s="1994"/>
      <c r="L111" s="2067"/>
      <c r="M111" s="2089"/>
      <c r="N111" s="2069"/>
      <c r="O111" s="483"/>
      <c r="P111" s="1705"/>
      <c r="R111" s="207"/>
      <c r="S111" s="973"/>
    </row>
    <row r="112" spans="1:19" ht="17.25">
      <c r="A112" s="967" t="s">
        <v>371</v>
      </c>
      <c r="B112" s="127" t="s">
        <v>222</v>
      </c>
      <c r="C112" s="127"/>
      <c r="D112" s="127"/>
      <c r="E112" s="127"/>
      <c r="F112" s="127"/>
      <c r="G112" s="127"/>
      <c r="H112" s="379"/>
      <c r="I112" s="216" t="s">
        <v>945</v>
      </c>
      <c r="J112" s="2066">
        <f>45600/10000</f>
        <v>4.56</v>
      </c>
      <c r="K112" s="2070" t="s">
        <v>622</v>
      </c>
      <c r="L112" s="2063">
        <f>L45</f>
        <v>6.099639999999999</v>
      </c>
      <c r="M112" s="2089">
        <f>J112+L112</f>
        <v>10.65964</v>
      </c>
      <c r="N112" s="2069" t="s">
        <v>622</v>
      </c>
      <c r="O112" s="1700">
        <f>M112/10000</f>
        <v>0.001065964</v>
      </c>
      <c r="P112" s="1705" t="s">
        <v>622</v>
      </c>
      <c r="R112" s="1193">
        <f aca="true" t="shared" si="2" ref="R112:R117">S112*1.2</f>
        <v>45600</v>
      </c>
      <c r="S112" s="973">
        <v>38000</v>
      </c>
    </row>
    <row r="113" spans="1:19" ht="15.75">
      <c r="A113" s="967" t="s">
        <v>372</v>
      </c>
      <c r="B113" s="127" t="s">
        <v>211</v>
      </c>
      <c r="C113" s="127"/>
      <c r="D113" s="127"/>
      <c r="E113" s="127"/>
      <c r="F113" s="127"/>
      <c r="G113" s="127"/>
      <c r="H113" s="379"/>
      <c r="I113" s="217"/>
      <c r="J113" s="2066"/>
      <c r="K113" s="1994"/>
      <c r="L113" s="2067"/>
      <c r="M113" s="2089"/>
      <c r="N113" s="2069"/>
      <c r="O113" s="483"/>
      <c r="P113" s="1705"/>
      <c r="R113" s="1193">
        <f t="shared" si="2"/>
        <v>0</v>
      </c>
      <c r="S113" s="973"/>
    </row>
    <row r="114" spans="1:19" ht="17.25">
      <c r="A114" s="967" t="s">
        <v>373</v>
      </c>
      <c r="B114" s="127" t="s">
        <v>212</v>
      </c>
      <c r="C114" s="127"/>
      <c r="D114" s="127"/>
      <c r="E114" s="127"/>
      <c r="F114" s="127"/>
      <c r="G114" s="127"/>
      <c r="H114" s="379"/>
      <c r="I114" s="216" t="s">
        <v>945</v>
      </c>
      <c r="J114" s="2071">
        <f>143900/10000</f>
        <v>14.39</v>
      </c>
      <c r="K114" s="2070" t="s">
        <v>622</v>
      </c>
      <c r="L114" s="2063">
        <f>L47</f>
        <v>3.768692</v>
      </c>
      <c r="M114" s="2089">
        <f>J114+L114</f>
        <v>18.158692000000002</v>
      </c>
      <c r="N114" s="2069" t="s">
        <v>622</v>
      </c>
      <c r="O114" s="1700">
        <f>M114/10000</f>
        <v>0.0018158692000000002</v>
      </c>
      <c r="P114" s="1705" t="s">
        <v>622</v>
      </c>
      <c r="R114" s="1193">
        <f t="shared" si="2"/>
        <v>143880</v>
      </c>
      <c r="S114" s="1146">
        <v>119900</v>
      </c>
    </row>
    <row r="115" spans="1:19" ht="17.25">
      <c r="A115" s="967" t="s">
        <v>375</v>
      </c>
      <c r="B115" s="127" t="s">
        <v>213</v>
      </c>
      <c r="C115" s="127"/>
      <c r="D115" s="127"/>
      <c r="E115" s="127"/>
      <c r="F115" s="127"/>
      <c r="G115" s="127"/>
      <c r="H115" s="379"/>
      <c r="I115" s="216" t="s">
        <v>945</v>
      </c>
      <c r="J115" s="2071">
        <f>139600/10000</f>
        <v>13.96</v>
      </c>
      <c r="K115" s="2070" t="s">
        <v>622</v>
      </c>
      <c r="L115" s="2063">
        <f>L48</f>
        <v>3.0264369999999996</v>
      </c>
      <c r="M115" s="2089">
        <f>J115+L115</f>
        <v>16.986437000000002</v>
      </c>
      <c r="N115" s="2069" t="s">
        <v>622</v>
      </c>
      <c r="O115" s="1700">
        <f>M115/10000</f>
        <v>0.0016986437000000001</v>
      </c>
      <c r="P115" s="1705" t="s">
        <v>622</v>
      </c>
      <c r="R115" s="1193">
        <f t="shared" si="2"/>
        <v>139560</v>
      </c>
      <c r="S115" s="1146">
        <v>116300</v>
      </c>
    </row>
    <row r="116" spans="1:19" ht="17.25">
      <c r="A116" s="967" t="s">
        <v>376</v>
      </c>
      <c r="B116" s="127" t="s">
        <v>214</v>
      </c>
      <c r="C116" s="127"/>
      <c r="D116" s="127"/>
      <c r="E116" s="127"/>
      <c r="F116" s="127"/>
      <c r="G116" s="127"/>
      <c r="H116" s="379"/>
      <c r="I116" s="216" t="s">
        <v>945</v>
      </c>
      <c r="J116" s="2066">
        <f>151200/10000</f>
        <v>15.12</v>
      </c>
      <c r="K116" s="2070" t="s">
        <v>622</v>
      </c>
      <c r="L116" s="2063">
        <f>L49</f>
        <v>30.562801999999998</v>
      </c>
      <c r="M116" s="2089">
        <f>J116+L116</f>
        <v>45.682801999999995</v>
      </c>
      <c r="N116" s="2069" t="s">
        <v>622</v>
      </c>
      <c r="O116" s="1700">
        <f>M116/10000</f>
        <v>0.004568280199999999</v>
      </c>
      <c r="P116" s="1705" t="s">
        <v>622</v>
      </c>
      <c r="R116" s="1193">
        <f t="shared" si="2"/>
        <v>151200</v>
      </c>
      <c r="S116" s="973">
        <v>126000</v>
      </c>
    </row>
    <row r="117" spans="1:19" ht="17.25">
      <c r="A117" s="967" t="s">
        <v>377</v>
      </c>
      <c r="B117" s="127" t="s">
        <v>215</v>
      </c>
      <c r="C117" s="127"/>
      <c r="D117" s="127"/>
      <c r="E117" s="127"/>
      <c r="F117" s="127"/>
      <c r="G117" s="127"/>
      <c r="H117" s="379"/>
      <c r="I117" s="216" t="s">
        <v>945</v>
      </c>
      <c r="J117" s="2066">
        <f>118600/10000</f>
        <v>11.86</v>
      </c>
      <c r="K117" s="2070" t="s">
        <v>622</v>
      </c>
      <c r="L117" s="2063">
        <f>L50</f>
        <v>2.893132</v>
      </c>
      <c r="M117" s="2089">
        <f>J117+L117</f>
        <v>14.753131999999999</v>
      </c>
      <c r="N117" s="2069" t="s">
        <v>622</v>
      </c>
      <c r="O117" s="1700">
        <f>M117/10000</f>
        <v>0.0014753131999999999</v>
      </c>
      <c r="P117" s="1705" t="s">
        <v>622</v>
      </c>
      <c r="R117" s="1193">
        <f t="shared" si="2"/>
        <v>118560</v>
      </c>
      <c r="S117" s="973">
        <v>98800</v>
      </c>
    </row>
    <row r="118" spans="1:19" ht="29.25" customHeight="1">
      <c r="A118" s="975" t="s">
        <v>378</v>
      </c>
      <c r="B118" s="2437" t="s">
        <v>225</v>
      </c>
      <c r="C118" s="2438"/>
      <c r="D118" s="2438"/>
      <c r="E118" s="2438"/>
      <c r="F118" s="2438"/>
      <c r="G118" s="2438"/>
      <c r="H118" s="2439"/>
      <c r="I118" s="217"/>
      <c r="J118" s="2066"/>
      <c r="K118" s="1994"/>
      <c r="L118" s="2067"/>
      <c r="M118" s="2089"/>
      <c r="N118" s="2069"/>
      <c r="O118" s="483"/>
      <c r="P118" s="1705"/>
      <c r="R118" s="151"/>
      <c r="S118" s="973"/>
    </row>
    <row r="119" spans="1:19" ht="17.25">
      <c r="A119" s="970" t="s">
        <v>379</v>
      </c>
      <c r="B119" s="127" t="s">
        <v>226</v>
      </c>
      <c r="C119" s="127"/>
      <c r="D119" s="127"/>
      <c r="E119" s="127"/>
      <c r="F119" s="127"/>
      <c r="G119" s="127"/>
      <c r="H119" s="379"/>
      <c r="I119" s="216" t="s">
        <v>945</v>
      </c>
      <c r="J119" s="2066">
        <f>143200/10000</f>
        <v>14.32</v>
      </c>
      <c r="K119" s="2070" t="s">
        <v>622</v>
      </c>
      <c r="L119" s="2063">
        <f>L52</f>
        <v>3.1017228</v>
      </c>
      <c r="M119" s="2089">
        <f>J119+L119</f>
        <v>17.4217228</v>
      </c>
      <c r="N119" s="2069" t="s">
        <v>622</v>
      </c>
      <c r="O119" s="1700">
        <f>M119/10000</f>
        <v>0.0017421722800000001</v>
      </c>
      <c r="P119" s="1705" t="s">
        <v>622</v>
      </c>
      <c r="R119" s="1193">
        <f>S119*1.2</f>
        <v>143160</v>
      </c>
      <c r="S119" s="973">
        <v>119300</v>
      </c>
    </row>
    <row r="120" spans="1:19" ht="15.75">
      <c r="A120" s="976" t="s">
        <v>380</v>
      </c>
      <c r="B120" s="1696" t="s">
        <v>227</v>
      </c>
      <c r="C120" s="127"/>
      <c r="D120" s="127"/>
      <c r="E120" s="127"/>
      <c r="F120" s="127"/>
      <c r="G120" s="127"/>
      <c r="H120" s="379"/>
      <c r="I120" s="217"/>
      <c r="J120" s="2066"/>
      <c r="K120" s="1994"/>
      <c r="L120" s="2067"/>
      <c r="M120" s="2089"/>
      <c r="N120" s="2069"/>
      <c r="O120" s="483"/>
      <c r="P120" s="1705"/>
      <c r="R120" s="151"/>
      <c r="S120" s="973"/>
    </row>
    <row r="121" spans="1:19" ht="15.75" hidden="1">
      <c r="A121" s="970">
        <v>1</v>
      </c>
      <c r="B121" s="127" t="s">
        <v>228</v>
      </c>
      <c r="C121" s="127"/>
      <c r="D121" s="127"/>
      <c r="E121" s="127"/>
      <c r="F121" s="127"/>
      <c r="G121" s="127"/>
      <c r="H121" s="379"/>
      <c r="I121" s="217"/>
      <c r="J121" s="2066"/>
      <c r="K121" s="1994"/>
      <c r="L121" s="2067"/>
      <c r="M121" s="2089"/>
      <c r="N121" s="2069"/>
      <c r="O121" s="483"/>
      <c r="P121" s="1705"/>
      <c r="R121" s="151"/>
      <c r="S121" s="973"/>
    </row>
    <row r="122" spans="1:19" ht="15.75" hidden="1">
      <c r="A122" s="968" t="s">
        <v>622</v>
      </c>
      <c r="B122" s="127" t="s">
        <v>212</v>
      </c>
      <c r="C122" s="127"/>
      <c r="D122" s="127"/>
      <c r="E122" s="127"/>
      <c r="F122" s="127"/>
      <c r="G122" s="127"/>
      <c r="H122" s="379"/>
      <c r="I122" s="216" t="s">
        <v>945</v>
      </c>
      <c r="J122" s="2066">
        <v>14150</v>
      </c>
      <c r="K122" s="2070" t="s">
        <v>622</v>
      </c>
      <c r="L122" s="2067"/>
      <c r="M122" s="2089">
        <f>J122+L122</f>
        <v>14150</v>
      </c>
      <c r="N122" s="2069"/>
      <c r="O122" s="483"/>
      <c r="P122" s="1705"/>
      <c r="R122" s="151"/>
      <c r="S122" s="973">
        <v>14150</v>
      </c>
    </row>
    <row r="123" spans="1:19" ht="15.75" hidden="1">
      <c r="A123" s="968" t="s">
        <v>622</v>
      </c>
      <c r="B123" s="127" t="s">
        <v>213</v>
      </c>
      <c r="C123" s="127"/>
      <c r="D123" s="127"/>
      <c r="E123" s="127"/>
      <c r="F123" s="127"/>
      <c r="G123" s="127"/>
      <c r="H123" s="379"/>
      <c r="I123" s="216" t="s">
        <v>945</v>
      </c>
      <c r="J123" s="2066">
        <v>13150</v>
      </c>
      <c r="K123" s="2070" t="s">
        <v>622</v>
      </c>
      <c r="L123" s="2067"/>
      <c r="M123" s="2089">
        <f>J123+L123</f>
        <v>13150</v>
      </c>
      <c r="N123" s="2069"/>
      <c r="O123" s="483"/>
      <c r="P123" s="1705"/>
      <c r="R123" s="151"/>
      <c r="S123" s="973">
        <v>13150</v>
      </c>
    </row>
    <row r="124" spans="1:19" ht="15.75" hidden="1">
      <c r="A124" s="968" t="s">
        <v>622</v>
      </c>
      <c r="B124" s="127" t="s">
        <v>214</v>
      </c>
      <c r="C124" s="127"/>
      <c r="D124" s="127"/>
      <c r="E124" s="127"/>
      <c r="F124" s="127"/>
      <c r="G124" s="127"/>
      <c r="H124" s="379"/>
      <c r="I124" s="216" t="s">
        <v>945</v>
      </c>
      <c r="J124" s="2066">
        <v>15750</v>
      </c>
      <c r="K124" s="2070" t="s">
        <v>622</v>
      </c>
      <c r="L124" s="2067"/>
      <c r="M124" s="2089">
        <f>J124+L124</f>
        <v>15750</v>
      </c>
      <c r="N124" s="2069"/>
      <c r="O124" s="483"/>
      <c r="P124" s="1705"/>
      <c r="R124" s="151"/>
      <c r="S124" s="973">
        <v>15750</v>
      </c>
    </row>
    <row r="125" spans="1:19" ht="15.75" hidden="1">
      <c r="A125" s="968" t="s">
        <v>622</v>
      </c>
      <c r="B125" s="127" t="s">
        <v>215</v>
      </c>
      <c r="C125" s="127"/>
      <c r="D125" s="127"/>
      <c r="E125" s="127"/>
      <c r="F125" s="127"/>
      <c r="G125" s="127"/>
      <c r="H125" s="379"/>
      <c r="I125" s="216" t="s">
        <v>945</v>
      </c>
      <c r="J125" s="2066">
        <v>8500</v>
      </c>
      <c r="K125" s="2070" t="s">
        <v>622</v>
      </c>
      <c r="L125" s="2067"/>
      <c r="M125" s="2089">
        <f>J125+L125</f>
        <v>8500</v>
      </c>
      <c r="N125" s="2069"/>
      <c r="O125" s="483"/>
      <c r="P125" s="1705"/>
      <c r="R125" s="151"/>
      <c r="S125" s="973">
        <v>8500</v>
      </c>
    </row>
    <row r="126" spans="1:19" ht="62.25" customHeight="1" thickBot="1">
      <c r="A126" s="971" t="s">
        <v>381</v>
      </c>
      <c r="B126" s="2432" t="s">
        <v>229</v>
      </c>
      <c r="C126" s="2433"/>
      <c r="D126" s="2433"/>
      <c r="E126" s="2433"/>
      <c r="F126" s="2433"/>
      <c r="G126" s="2433"/>
      <c r="H126" s="2434"/>
      <c r="I126" s="507" t="s">
        <v>945</v>
      </c>
      <c r="J126" s="2091">
        <f>59300/10000</f>
        <v>5.93</v>
      </c>
      <c r="K126" s="2092" t="s">
        <v>622</v>
      </c>
      <c r="L126" s="2093">
        <f>L59</f>
        <v>12.389899999999999</v>
      </c>
      <c r="M126" s="2094">
        <f>J126+L126</f>
        <v>18.319899999999997</v>
      </c>
      <c r="N126" s="2082" t="s">
        <v>622</v>
      </c>
      <c r="O126" s="1707">
        <f>M126/10000</f>
        <v>0.0018319899999999997</v>
      </c>
      <c r="P126" s="1708" t="s">
        <v>622</v>
      </c>
      <c r="R126" s="1193">
        <f>S126*1.2</f>
        <v>59280</v>
      </c>
      <c r="S126" s="1147">
        <v>49400</v>
      </c>
    </row>
    <row r="128" spans="1:16" s="151" customFormat="1" ht="15.75" customHeight="1">
      <c r="A128" s="325" t="str">
        <f>A61</f>
        <v>Главный бухгалтер</v>
      </c>
      <c r="B128" s="167"/>
      <c r="C128" s="167"/>
      <c r="D128" s="167"/>
      <c r="E128" s="167"/>
      <c r="F128" s="167"/>
      <c r="G128" s="167"/>
      <c r="H128" s="167"/>
      <c r="I128" s="325"/>
      <c r="J128" s="166"/>
      <c r="K128" s="325" t="str">
        <f>K61</f>
        <v>М.В. Ровгач</v>
      </c>
      <c r="L128" s="1704"/>
      <c r="M128" s="325"/>
      <c r="O128" s="325"/>
      <c r="P128" s="165"/>
    </row>
    <row r="129" spans="1:16" s="151" customFormat="1" ht="15.75" customHeight="1">
      <c r="A129" s="1709"/>
      <c r="B129" s="167"/>
      <c r="C129" s="167"/>
      <c r="D129" s="167"/>
      <c r="E129" s="167"/>
      <c r="F129" s="167"/>
      <c r="G129" s="167"/>
      <c r="H129" s="167"/>
      <c r="I129" s="325"/>
      <c r="J129" s="166"/>
      <c r="K129" s="325"/>
      <c r="L129" s="1704"/>
      <c r="M129" s="325"/>
      <c r="O129" s="325"/>
      <c r="P129" s="165"/>
    </row>
    <row r="130" spans="1:16" s="151" customFormat="1" ht="15.75" customHeight="1">
      <c r="A130" s="325" t="str">
        <f>A63</f>
        <v>Бухгалтер</v>
      </c>
      <c r="B130" s="834"/>
      <c r="C130" s="165"/>
      <c r="D130" s="165"/>
      <c r="E130" s="165"/>
      <c r="F130" s="165"/>
      <c r="G130" s="834"/>
      <c r="H130" s="834"/>
      <c r="I130" s="834"/>
      <c r="J130" s="834"/>
      <c r="K130" s="325" t="str">
        <f>K63</f>
        <v>О.Н.Гаркавая</v>
      </c>
      <c r="L130" s="165"/>
      <c r="M130" s="325"/>
      <c r="O130" s="325"/>
      <c r="P130" s="165"/>
    </row>
    <row r="131" spans="1:16" s="151" customFormat="1" ht="15.75" customHeight="1">
      <c r="A131" s="325"/>
      <c r="B131" s="834"/>
      <c r="C131" s="165"/>
      <c r="D131" s="165"/>
      <c r="E131" s="165"/>
      <c r="F131" s="165"/>
      <c r="G131" s="834"/>
      <c r="H131" s="834"/>
      <c r="I131" s="834"/>
      <c r="J131" s="834"/>
      <c r="K131" s="325"/>
      <c r="L131" s="165"/>
      <c r="M131" s="325"/>
      <c r="O131" s="325"/>
      <c r="P131" s="165"/>
    </row>
    <row r="132" spans="1:16" s="151" customFormat="1" ht="15.75" customHeight="1">
      <c r="A132" s="325" t="str">
        <f>A65</f>
        <v>Начальник  ПЭО</v>
      </c>
      <c r="B132" s="165"/>
      <c r="C132" s="165"/>
      <c r="D132" s="165"/>
      <c r="E132" s="165"/>
      <c r="F132" s="165"/>
      <c r="G132" s="834"/>
      <c r="H132" s="834"/>
      <c r="I132" s="834"/>
      <c r="J132" s="834"/>
      <c r="K132" s="325" t="str">
        <f>K65</f>
        <v>В.К.Лысая</v>
      </c>
      <c r="L132" s="165"/>
      <c r="M132" s="325"/>
      <c r="O132" s="325"/>
      <c r="P132" s="165"/>
    </row>
    <row r="133" spans="1:16" s="151" customFormat="1" ht="15.75" customHeight="1">
      <c r="A133" s="325"/>
      <c r="B133" s="165"/>
      <c r="C133" s="165"/>
      <c r="D133" s="165"/>
      <c r="E133" s="165"/>
      <c r="F133" s="165"/>
      <c r="G133" s="834"/>
      <c r="H133" s="834"/>
      <c r="I133" s="834"/>
      <c r="J133" s="834"/>
      <c r="K133" s="325"/>
      <c r="L133" s="165"/>
      <c r="M133" s="325"/>
      <c r="O133" s="325"/>
      <c r="P133" s="165"/>
    </row>
    <row r="134" spans="1:16" s="151" customFormat="1" ht="15.75" customHeight="1">
      <c r="A134" s="325" t="str">
        <f>A67</f>
        <v>Экономист</v>
      </c>
      <c r="B134" s="165"/>
      <c r="C134" s="165"/>
      <c r="D134" s="165"/>
      <c r="E134" s="165"/>
      <c r="F134" s="165"/>
      <c r="G134" s="834"/>
      <c r="H134" s="834"/>
      <c r="I134" s="834"/>
      <c r="J134" s="834"/>
      <c r="K134" s="325" t="str">
        <f>K67</f>
        <v>Е.О.Андреева</v>
      </c>
      <c r="L134" s="165"/>
      <c r="M134" s="325"/>
      <c r="O134" s="325"/>
      <c r="P134" s="165"/>
    </row>
    <row r="135" spans="1:15" s="151" customFormat="1" ht="15.75">
      <c r="A135" s="245"/>
      <c r="G135" s="482"/>
      <c r="H135" s="482"/>
      <c r="I135" s="482"/>
      <c r="J135" s="482"/>
      <c r="K135" s="490"/>
      <c r="M135" s="245"/>
      <c r="N135" s="325"/>
      <c r="O135" s="245"/>
    </row>
    <row r="136" spans="1:15" s="151" customFormat="1" ht="15">
      <c r="A136" s="245"/>
      <c r="G136" s="482"/>
      <c r="H136" s="482"/>
      <c r="I136" s="482"/>
      <c r="J136" s="482"/>
      <c r="K136" s="490"/>
      <c r="M136" s="245"/>
      <c r="N136" s="245"/>
      <c r="O136" s="245"/>
    </row>
    <row r="137" spans="1:15" s="151" customFormat="1" ht="15">
      <c r="A137" s="245"/>
      <c r="G137" s="482"/>
      <c r="H137" s="482"/>
      <c r="I137" s="482"/>
      <c r="J137" s="482"/>
      <c r="K137" s="490"/>
      <c r="M137" s="245"/>
      <c r="N137" s="245"/>
      <c r="O137" s="245"/>
    </row>
    <row r="138" spans="1:15" s="151" customFormat="1" ht="15">
      <c r="A138" s="245"/>
      <c r="G138" s="482"/>
      <c r="H138" s="482"/>
      <c r="I138" s="482"/>
      <c r="J138" s="482"/>
      <c r="K138" s="490"/>
      <c r="M138" s="245"/>
      <c r="N138" s="245"/>
      <c r="O138" s="245"/>
    </row>
    <row r="139" spans="1:15" s="151" customFormat="1" ht="15">
      <c r="A139" s="245"/>
      <c r="G139" s="482"/>
      <c r="H139" s="482"/>
      <c r="I139" s="482"/>
      <c r="J139" s="482"/>
      <c r="K139" s="490"/>
      <c r="M139" s="245"/>
      <c r="N139" s="245"/>
      <c r="O139" s="245"/>
    </row>
    <row r="140" spans="1:15" s="151" customFormat="1" ht="15">
      <c r="A140" s="245"/>
      <c r="G140" s="482"/>
      <c r="H140" s="482"/>
      <c r="I140" s="482"/>
      <c r="J140" s="482"/>
      <c r="K140" s="490"/>
      <c r="M140" s="245"/>
      <c r="N140" s="245"/>
      <c r="O140" s="245"/>
    </row>
    <row r="141" spans="1:15" s="151" customFormat="1" ht="15">
      <c r="A141" s="245"/>
      <c r="G141" s="482"/>
      <c r="H141" s="482"/>
      <c r="I141" s="482"/>
      <c r="J141" s="482"/>
      <c r="K141" s="490"/>
      <c r="M141" s="245"/>
      <c r="N141" s="245"/>
      <c r="O141" s="245"/>
    </row>
    <row r="142" spans="1:15" s="151" customFormat="1" ht="15">
      <c r="A142" s="245"/>
      <c r="G142" s="482"/>
      <c r="H142" s="482"/>
      <c r="I142" s="482"/>
      <c r="J142" s="482"/>
      <c r="K142" s="490"/>
      <c r="M142" s="245"/>
      <c r="N142" s="245"/>
      <c r="O142" s="245"/>
    </row>
    <row r="143" spans="1:15" s="151" customFormat="1" ht="15">
      <c r="A143" s="245"/>
      <c r="G143" s="482"/>
      <c r="H143" s="482"/>
      <c r="I143" s="482"/>
      <c r="J143" s="482"/>
      <c r="K143" s="490"/>
      <c r="M143" s="245"/>
      <c r="N143" s="245"/>
      <c r="O143" s="245"/>
    </row>
    <row r="144" spans="1:15" s="151" customFormat="1" ht="15">
      <c r="A144" s="245"/>
      <c r="G144" s="482"/>
      <c r="H144" s="482"/>
      <c r="I144" s="482"/>
      <c r="J144" s="482"/>
      <c r="K144" s="490"/>
      <c r="M144" s="245"/>
      <c r="N144" s="245"/>
      <c r="O144" s="245"/>
    </row>
    <row r="145" spans="1:15" s="151" customFormat="1" ht="15">
      <c r="A145" s="245"/>
      <c r="G145" s="482"/>
      <c r="H145" s="482"/>
      <c r="I145" s="482"/>
      <c r="J145" s="482"/>
      <c r="K145" s="490"/>
      <c r="M145" s="245"/>
      <c r="N145" s="245"/>
      <c r="O145" s="245"/>
    </row>
    <row r="146" spans="1:15" s="151" customFormat="1" ht="15">
      <c r="A146" s="245"/>
      <c r="G146" s="482"/>
      <c r="H146" s="482"/>
      <c r="I146" s="482"/>
      <c r="J146" s="482"/>
      <c r="K146" s="490"/>
      <c r="M146" s="245"/>
      <c r="N146" s="245"/>
      <c r="O146" s="245"/>
    </row>
    <row r="147" spans="1:15" s="151" customFormat="1" ht="15">
      <c r="A147" s="245"/>
      <c r="G147" s="482"/>
      <c r="H147" s="482"/>
      <c r="I147" s="482"/>
      <c r="J147" s="482"/>
      <c r="K147" s="490"/>
      <c r="M147" s="245"/>
      <c r="N147" s="245"/>
      <c r="O147" s="245"/>
    </row>
    <row r="148" spans="1:15" s="151" customFormat="1" ht="15">
      <c r="A148" s="245"/>
      <c r="G148" s="482"/>
      <c r="H148" s="482"/>
      <c r="I148" s="482"/>
      <c r="J148" s="482"/>
      <c r="K148" s="490"/>
      <c r="M148" s="245"/>
      <c r="N148" s="245"/>
      <c r="O148" s="245"/>
    </row>
    <row r="149" spans="1:15" s="151" customFormat="1" ht="15">
      <c r="A149" s="245"/>
      <c r="G149" s="482"/>
      <c r="H149" s="482"/>
      <c r="I149" s="482"/>
      <c r="J149" s="482"/>
      <c r="K149" s="490"/>
      <c r="M149" s="245"/>
      <c r="N149" s="245"/>
      <c r="O149" s="245"/>
    </row>
    <row r="150" spans="1:15" s="151" customFormat="1" ht="15">
      <c r="A150" s="245"/>
      <c r="G150" s="482"/>
      <c r="H150" s="482"/>
      <c r="I150" s="482"/>
      <c r="J150" s="482"/>
      <c r="K150" s="490"/>
      <c r="M150" s="245"/>
      <c r="N150" s="245"/>
      <c r="O150" s="245"/>
    </row>
    <row r="151" spans="1:15" s="151" customFormat="1" ht="15">
      <c r="A151" s="245"/>
      <c r="G151" s="482"/>
      <c r="H151" s="482"/>
      <c r="I151" s="482"/>
      <c r="J151" s="482"/>
      <c r="K151" s="490"/>
      <c r="M151" s="245"/>
      <c r="N151" s="245"/>
      <c r="O151" s="245"/>
    </row>
    <row r="152" spans="1:15" s="151" customFormat="1" ht="15">
      <c r="A152" s="245"/>
      <c r="G152" s="482"/>
      <c r="H152" s="482"/>
      <c r="I152" s="482"/>
      <c r="J152" s="482"/>
      <c r="K152" s="490"/>
      <c r="M152" s="245"/>
      <c r="N152" s="245"/>
      <c r="O152" s="245"/>
    </row>
    <row r="153" spans="1:15" s="151" customFormat="1" ht="15">
      <c r="A153" s="245"/>
      <c r="G153" s="482"/>
      <c r="H153" s="482"/>
      <c r="I153" s="482"/>
      <c r="J153" s="482"/>
      <c r="K153" s="490"/>
      <c r="M153" s="245"/>
      <c r="N153" s="245"/>
      <c r="O153" s="245"/>
    </row>
    <row r="154" spans="1:15" s="151" customFormat="1" ht="15">
      <c r="A154" s="245"/>
      <c r="G154" s="482"/>
      <c r="H154" s="482"/>
      <c r="I154" s="482"/>
      <c r="J154" s="482"/>
      <c r="K154" s="490"/>
      <c r="M154" s="245"/>
      <c r="N154" s="245"/>
      <c r="O154" s="245"/>
    </row>
    <row r="155" spans="1:15" s="151" customFormat="1" ht="15">
      <c r="A155" s="245"/>
      <c r="G155" s="482"/>
      <c r="H155" s="482"/>
      <c r="I155" s="482"/>
      <c r="J155" s="482"/>
      <c r="K155" s="490"/>
      <c r="M155" s="245"/>
      <c r="N155" s="245"/>
      <c r="O155" s="245"/>
    </row>
    <row r="156" spans="1:15" s="151" customFormat="1" ht="15">
      <c r="A156" s="245"/>
      <c r="G156" s="482"/>
      <c r="H156" s="482"/>
      <c r="I156" s="482"/>
      <c r="J156" s="482"/>
      <c r="K156" s="490"/>
      <c r="M156" s="245"/>
      <c r="N156" s="245"/>
      <c r="O156" s="245"/>
    </row>
    <row r="157" spans="1:15" s="151" customFormat="1" ht="15">
      <c r="A157" s="245"/>
      <c r="G157" s="482"/>
      <c r="H157" s="482"/>
      <c r="I157" s="482"/>
      <c r="J157" s="482"/>
      <c r="K157" s="490"/>
      <c r="M157" s="245"/>
      <c r="N157" s="245"/>
      <c r="O157" s="245"/>
    </row>
    <row r="158" spans="1:15" s="151" customFormat="1" ht="15">
      <c r="A158" s="245"/>
      <c r="G158" s="482"/>
      <c r="H158" s="482"/>
      <c r="I158" s="482"/>
      <c r="J158" s="482"/>
      <c r="K158" s="490"/>
      <c r="M158" s="245"/>
      <c r="N158" s="245"/>
      <c r="O158" s="245"/>
    </row>
    <row r="159" spans="1:15" s="151" customFormat="1" ht="15">
      <c r="A159" s="245"/>
      <c r="G159" s="482"/>
      <c r="H159" s="482"/>
      <c r="I159" s="482"/>
      <c r="J159" s="482"/>
      <c r="K159" s="490"/>
      <c r="M159" s="245"/>
      <c r="N159" s="245"/>
      <c r="O159" s="245"/>
    </row>
    <row r="160" spans="1:15" s="151" customFormat="1" ht="15">
      <c r="A160" s="245"/>
      <c r="G160" s="482"/>
      <c r="H160" s="482"/>
      <c r="I160" s="482"/>
      <c r="J160" s="482"/>
      <c r="K160" s="490"/>
      <c r="M160" s="245"/>
      <c r="N160" s="245"/>
      <c r="O160" s="245"/>
    </row>
    <row r="161" spans="1:15" s="151" customFormat="1" ht="15">
      <c r="A161" s="245"/>
      <c r="G161" s="482"/>
      <c r="H161" s="482"/>
      <c r="I161" s="482"/>
      <c r="J161" s="482"/>
      <c r="K161" s="490"/>
      <c r="M161" s="245"/>
      <c r="N161" s="245"/>
      <c r="O161" s="245"/>
    </row>
    <row r="162" spans="1:15" s="151" customFormat="1" ht="15">
      <c r="A162" s="245"/>
      <c r="G162" s="482"/>
      <c r="H162" s="482"/>
      <c r="I162" s="482"/>
      <c r="J162" s="482"/>
      <c r="K162" s="490"/>
      <c r="M162" s="245"/>
      <c r="N162" s="245"/>
      <c r="O162" s="245"/>
    </row>
    <row r="163" spans="1:15" s="151" customFormat="1" ht="15">
      <c r="A163" s="245"/>
      <c r="G163" s="482"/>
      <c r="H163" s="482"/>
      <c r="I163" s="482"/>
      <c r="J163" s="482"/>
      <c r="K163" s="490"/>
      <c r="M163" s="245"/>
      <c r="N163" s="245"/>
      <c r="O163" s="245"/>
    </row>
    <row r="164" spans="1:15" s="151" customFormat="1" ht="15">
      <c r="A164" s="245"/>
      <c r="G164" s="482"/>
      <c r="H164" s="482"/>
      <c r="I164" s="482"/>
      <c r="J164" s="482"/>
      <c r="K164" s="490"/>
      <c r="M164" s="245"/>
      <c r="N164" s="245"/>
      <c r="O164" s="245"/>
    </row>
    <row r="165" spans="1:15" s="151" customFormat="1" ht="15">
      <c r="A165" s="245"/>
      <c r="G165" s="482"/>
      <c r="H165" s="482"/>
      <c r="I165" s="482"/>
      <c r="J165" s="482"/>
      <c r="K165" s="490"/>
      <c r="M165" s="245"/>
      <c r="N165" s="245"/>
      <c r="O165" s="245"/>
    </row>
    <row r="166" spans="1:15" s="151" customFormat="1" ht="15">
      <c r="A166" s="245"/>
      <c r="G166" s="482"/>
      <c r="H166" s="482"/>
      <c r="I166" s="482"/>
      <c r="J166" s="482"/>
      <c r="K166" s="490"/>
      <c r="M166" s="245"/>
      <c r="N166" s="245"/>
      <c r="O166" s="245"/>
    </row>
    <row r="167" spans="1:15" s="151" customFormat="1" ht="15">
      <c r="A167" s="245"/>
      <c r="G167" s="482"/>
      <c r="H167" s="482"/>
      <c r="I167" s="482"/>
      <c r="J167" s="482"/>
      <c r="K167" s="490"/>
      <c r="M167" s="245"/>
      <c r="N167" s="245"/>
      <c r="O167" s="245"/>
    </row>
    <row r="168" spans="1:15" s="151" customFormat="1" ht="15">
      <c r="A168" s="245"/>
      <c r="G168" s="482"/>
      <c r="H168" s="482"/>
      <c r="I168" s="482"/>
      <c r="J168" s="482"/>
      <c r="K168" s="490"/>
      <c r="M168" s="245"/>
      <c r="N168" s="245"/>
      <c r="O168" s="245"/>
    </row>
    <row r="169" spans="1:15" s="151" customFormat="1" ht="15">
      <c r="A169" s="245"/>
      <c r="G169" s="482"/>
      <c r="H169" s="482"/>
      <c r="I169" s="482"/>
      <c r="J169" s="482"/>
      <c r="K169" s="490"/>
      <c r="M169" s="245"/>
      <c r="N169" s="245"/>
      <c r="O169" s="245"/>
    </row>
    <row r="170" spans="1:15" s="151" customFormat="1" ht="15">
      <c r="A170" s="245"/>
      <c r="G170" s="482"/>
      <c r="H170" s="482"/>
      <c r="I170" s="482"/>
      <c r="J170" s="482"/>
      <c r="K170" s="490"/>
      <c r="M170" s="245"/>
      <c r="N170" s="245"/>
      <c r="O170" s="245"/>
    </row>
    <row r="171" spans="1:15" s="151" customFormat="1" ht="15">
      <c r="A171" s="245"/>
      <c r="G171" s="482"/>
      <c r="H171" s="482"/>
      <c r="I171" s="482"/>
      <c r="J171" s="482"/>
      <c r="K171" s="490"/>
      <c r="M171" s="245"/>
      <c r="N171" s="245"/>
      <c r="O171" s="245"/>
    </row>
    <row r="172" spans="1:15" s="151" customFormat="1" ht="15">
      <c r="A172" s="245"/>
      <c r="G172" s="482"/>
      <c r="H172" s="482"/>
      <c r="I172" s="482"/>
      <c r="J172" s="482"/>
      <c r="K172" s="490"/>
      <c r="M172" s="245"/>
      <c r="N172" s="245"/>
      <c r="O172" s="245"/>
    </row>
    <row r="173" spans="1:15" s="151" customFormat="1" ht="15">
      <c r="A173" s="245"/>
      <c r="G173" s="482"/>
      <c r="H173" s="482"/>
      <c r="I173" s="482"/>
      <c r="J173" s="482"/>
      <c r="K173" s="490"/>
      <c r="M173" s="245"/>
      <c r="N173" s="245"/>
      <c r="O173" s="245"/>
    </row>
    <row r="174" spans="1:15" s="151" customFormat="1" ht="15">
      <c r="A174" s="245"/>
      <c r="G174" s="482"/>
      <c r="H174" s="482"/>
      <c r="I174" s="482"/>
      <c r="J174" s="482"/>
      <c r="K174" s="490"/>
      <c r="M174" s="245"/>
      <c r="N174" s="245"/>
      <c r="O174" s="245"/>
    </row>
    <row r="175" spans="1:15" s="151" customFormat="1" ht="15">
      <c r="A175" s="245"/>
      <c r="G175" s="482"/>
      <c r="H175" s="482"/>
      <c r="I175" s="482"/>
      <c r="J175" s="482"/>
      <c r="K175" s="490"/>
      <c r="M175" s="245"/>
      <c r="N175" s="245"/>
      <c r="O175" s="245"/>
    </row>
    <row r="176" spans="1:15" s="151" customFormat="1" ht="15">
      <c r="A176" s="245"/>
      <c r="G176" s="482"/>
      <c r="H176" s="482"/>
      <c r="I176" s="482"/>
      <c r="J176" s="482"/>
      <c r="K176" s="490"/>
      <c r="M176" s="245"/>
      <c r="N176" s="245"/>
      <c r="O176" s="245"/>
    </row>
    <row r="177" spans="1:15" s="151" customFormat="1" ht="15">
      <c r="A177" s="245"/>
      <c r="G177" s="482"/>
      <c r="H177" s="482"/>
      <c r="I177" s="482"/>
      <c r="J177" s="482"/>
      <c r="K177" s="490"/>
      <c r="M177" s="245"/>
      <c r="N177" s="245"/>
      <c r="O177" s="245"/>
    </row>
    <row r="178" spans="1:15" s="151" customFormat="1" ht="15">
      <c r="A178" s="245"/>
      <c r="G178" s="482"/>
      <c r="H178" s="482"/>
      <c r="I178" s="482"/>
      <c r="J178" s="482"/>
      <c r="K178" s="490"/>
      <c r="M178" s="245"/>
      <c r="N178" s="245"/>
      <c r="O178" s="245"/>
    </row>
    <row r="179" spans="1:15" s="151" customFormat="1" ht="15">
      <c r="A179" s="245"/>
      <c r="G179" s="482"/>
      <c r="H179" s="482"/>
      <c r="I179" s="482"/>
      <c r="J179" s="482"/>
      <c r="K179" s="490"/>
      <c r="M179" s="245"/>
      <c r="N179" s="245"/>
      <c r="O179" s="245"/>
    </row>
    <row r="180" spans="1:15" s="151" customFormat="1" ht="15">
      <c r="A180" s="245"/>
      <c r="G180" s="482"/>
      <c r="H180" s="482"/>
      <c r="I180" s="482"/>
      <c r="J180" s="482"/>
      <c r="K180" s="490"/>
      <c r="M180" s="245"/>
      <c r="N180" s="245"/>
      <c r="O180" s="245"/>
    </row>
    <row r="181" spans="1:15" s="151" customFormat="1" ht="15">
      <c r="A181" s="245"/>
      <c r="G181" s="482"/>
      <c r="H181" s="482"/>
      <c r="I181" s="482"/>
      <c r="J181" s="482"/>
      <c r="K181" s="490"/>
      <c r="M181" s="245"/>
      <c r="N181" s="245"/>
      <c r="O181" s="245"/>
    </row>
    <row r="182" spans="1:15" s="151" customFormat="1" ht="15">
      <c r="A182" s="245"/>
      <c r="G182" s="482"/>
      <c r="H182" s="482"/>
      <c r="I182" s="482"/>
      <c r="J182" s="482"/>
      <c r="K182" s="490"/>
      <c r="M182" s="245"/>
      <c r="N182" s="245"/>
      <c r="O182" s="245"/>
    </row>
    <row r="183" spans="1:15" s="151" customFormat="1" ht="15">
      <c r="A183" s="245"/>
      <c r="G183" s="482"/>
      <c r="H183" s="482"/>
      <c r="I183" s="482"/>
      <c r="J183" s="482"/>
      <c r="K183" s="490"/>
      <c r="M183" s="245"/>
      <c r="N183" s="245"/>
      <c r="O183" s="245"/>
    </row>
    <row r="184" spans="1:15" s="151" customFormat="1" ht="15">
      <c r="A184" s="245"/>
      <c r="G184" s="482"/>
      <c r="H184" s="482"/>
      <c r="I184" s="482"/>
      <c r="J184" s="482"/>
      <c r="K184" s="490"/>
      <c r="M184" s="245"/>
      <c r="N184" s="245"/>
      <c r="O184" s="245"/>
    </row>
    <row r="185" spans="1:15" s="151" customFormat="1" ht="15">
      <c r="A185" s="245"/>
      <c r="G185" s="482"/>
      <c r="H185" s="482"/>
      <c r="I185" s="482"/>
      <c r="J185" s="482"/>
      <c r="K185" s="490"/>
      <c r="M185" s="245"/>
      <c r="N185" s="245"/>
      <c r="O185" s="245"/>
    </row>
    <row r="186" spans="1:15" s="151" customFormat="1" ht="15">
      <c r="A186" s="245"/>
      <c r="G186" s="482"/>
      <c r="H186" s="482"/>
      <c r="I186" s="482"/>
      <c r="J186" s="482"/>
      <c r="K186" s="490"/>
      <c r="M186" s="245"/>
      <c r="N186" s="245"/>
      <c r="O186" s="245"/>
    </row>
    <row r="187" spans="1:15" s="151" customFormat="1" ht="15">
      <c r="A187" s="245"/>
      <c r="G187" s="482"/>
      <c r="H187" s="482"/>
      <c r="I187" s="482"/>
      <c r="J187" s="482"/>
      <c r="K187" s="490"/>
      <c r="M187" s="245"/>
      <c r="N187" s="245"/>
      <c r="O187" s="245"/>
    </row>
    <row r="188" spans="1:15" s="151" customFormat="1" ht="15">
      <c r="A188" s="245"/>
      <c r="G188" s="482"/>
      <c r="H188" s="482"/>
      <c r="I188" s="482"/>
      <c r="J188" s="482"/>
      <c r="K188" s="490"/>
      <c r="M188" s="245"/>
      <c r="N188" s="245"/>
      <c r="O188" s="245"/>
    </row>
    <row r="189" spans="1:15" s="151" customFormat="1" ht="15">
      <c r="A189" s="245"/>
      <c r="G189" s="482"/>
      <c r="H189" s="482"/>
      <c r="I189" s="482"/>
      <c r="J189" s="482"/>
      <c r="K189" s="490"/>
      <c r="M189" s="245"/>
      <c r="N189" s="245"/>
      <c r="O189" s="245"/>
    </row>
    <row r="190" spans="1:15" s="151" customFormat="1" ht="15">
      <c r="A190" s="245"/>
      <c r="G190" s="482"/>
      <c r="H190" s="482"/>
      <c r="I190" s="482"/>
      <c r="J190" s="482"/>
      <c r="K190" s="490"/>
      <c r="M190" s="245"/>
      <c r="N190" s="245"/>
      <c r="O190" s="245"/>
    </row>
    <row r="191" spans="1:15" s="151" customFormat="1" ht="15">
      <c r="A191" s="245"/>
      <c r="G191" s="482"/>
      <c r="H191" s="482"/>
      <c r="I191" s="482"/>
      <c r="J191" s="482"/>
      <c r="K191" s="490"/>
      <c r="M191" s="245"/>
      <c r="N191" s="245"/>
      <c r="O191" s="245"/>
    </row>
    <row r="192" spans="1:15" s="151" customFormat="1" ht="15">
      <c r="A192" s="245"/>
      <c r="G192" s="482"/>
      <c r="H192" s="482"/>
      <c r="I192" s="482"/>
      <c r="J192" s="482"/>
      <c r="K192" s="490"/>
      <c r="M192" s="245"/>
      <c r="N192" s="245"/>
      <c r="O192" s="245"/>
    </row>
    <row r="193" spans="1:15" s="151" customFormat="1" ht="15">
      <c r="A193" s="245"/>
      <c r="G193" s="482"/>
      <c r="H193" s="482"/>
      <c r="I193" s="482"/>
      <c r="J193" s="482"/>
      <c r="K193" s="490"/>
      <c r="M193" s="245"/>
      <c r="N193" s="245"/>
      <c r="O193" s="245"/>
    </row>
    <row r="194" spans="1:15" s="151" customFormat="1" ht="15">
      <c r="A194" s="245"/>
      <c r="G194" s="482"/>
      <c r="H194" s="482"/>
      <c r="I194" s="482"/>
      <c r="J194" s="482"/>
      <c r="K194" s="490"/>
      <c r="M194" s="245"/>
      <c r="N194" s="245"/>
      <c r="O194" s="245"/>
    </row>
    <row r="195" spans="1:15" s="151" customFormat="1" ht="15">
      <c r="A195" s="245"/>
      <c r="G195" s="482"/>
      <c r="H195" s="482"/>
      <c r="I195" s="482"/>
      <c r="J195" s="482"/>
      <c r="K195" s="490"/>
      <c r="M195" s="245"/>
      <c r="N195" s="245"/>
      <c r="O195" s="245"/>
    </row>
    <row r="196" spans="1:15" s="151" customFormat="1" ht="15">
      <c r="A196" s="245"/>
      <c r="G196" s="482"/>
      <c r="H196" s="482"/>
      <c r="I196" s="482"/>
      <c r="J196" s="482"/>
      <c r="K196" s="490"/>
      <c r="M196" s="245"/>
      <c r="N196" s="245"/>
      <c r="O196" s="245"/>
    </row>
    <row r="197" spans="1:15" s="151" customFormat="1" ht="15">
      <c r="A197" s="245"/>
      <c r="G197" s="482"/>
      <c r="H197" s="482"/>
      <c r="I197" s="482"/>
      <c r="J197" s="482"/>
      <c r="K197" s="490"/>
      <c r="M197" s="245"/>
      <c r="N197" s="245"/>
      <c r="O197" s="245"/>
    </row>
    <row r="198" spans="1:15" s="151" customFormat="1" ht="15">
      <c r="A198" s="245"/>
      <c r="G198" s="482"/>
      <c r="H198" s="482"/>
      <c r="I198" s="482"/>
      <c r="J198" s="482"/>
      <c r="K198" s="490"/>
      <c r="M198" s="245"/>
      <c r="N198" s="245"/>
      <c r="O198" s="245"/>
    </row>
    <row r="199" spans="1:15" s="151" customFormat="1" ht="15">
      <c r="A199" s="245"/>
      <c r="G199" s="482"/>
      <c r="H199" s="482"/>
      <c r="I199" s="482"/>
      <c r="J199" s="482"/>
      <c r="K199" s="490"/>
      <c r="M199" s="245"/>
      <c r="N199" s="245"/>
      <c r="O199" s="245"/>
    </row>
    <row r="200" spans="1:15" s="151" customFormat="1" ht="15">
      <c r="A200" s="245"/>
      <c r="G200" s="482"/>
      <c r="H200" s="482"/>
      <c r="I200" s="482"/>
      <c r="J200" s="482"/>
      <c r="K200" s="490"/>
      <c r="M200" s="245"/>
      <c r="N200" s="245"/>
      <c r="O200" s="245"/>
    </row>
    <row r="201" spans="1:15" s="151" customFormat="1" ht="15">
      <c r="A201" s="245"/>
      <c r="G201" s="482"/>
      <c r="H201" s="482"/>
      <c r="I201" s="482"/>
      <c r="J201" s="482"/>
      <c r="K201" s="490"/>
      <c r="M201" s="245"/>
      <c r="N201" s="245"/>
      <c r="O201" s="245"/>
    </row>
    <row r="202" spans="1:15" s="151" customFormat="1" ht="15">
      <c r="A202" s="245"/>
      <c r="G202" s="482"/>
      <c r="H202" s="482"/>
      <c r="I202" s="482"/>
      <c r="J202" s="482"/>
      <c r="K202" s="490"/>
      <c r="M202" s="245"/>
      <c r="N202" s="245"/>
      <c r="O202" s="245"/>
    </row>
    <row r="203" spans="1:15" s="151" customFormat="1" ht="15">
      <c r="A203" s="245"/>
      <c r="G203" s="482"/>
      <c r="H203" s="482"/>
      <c r="I203" s="482"/>
      <c r="J203" s="482"/>
      <c r="K203" s="490"/>
      <c r="M203" s="245"/>
      <c r="N203" s="245"/>
      <c r="O203" s="245"/>
    </row>
    <row r="204" spans="1:15" s="151" customFormat="1" ht="15">
      <c r="A204" s="245"/>
      <c r="G204" s="482"/>
      <c r="H204" s="482"/>
      <c r="I204" s="482"/>
      <c r="J204" s="482"/>
      <c r="K204" s="490"/>
      <c r="M204" s="245"/>
      <c r="N204" s="245"/>
      <c r="O204" s="245"/>
    </row>
    <row r="205" spans="1:15" s="151" customFormat="1" ht="15">
      <c r="A205" s="245"/>
      <c r="G205" s="482"/>
      <c r="H205" s="482"/>
      <c r="I205" s="482"/>
      <c r="J205" s="482"/>
      <c r="K205" s="490"/>
      <c r="M205" s="245"/>
      <c r="N205" s="245"/>
      <c r="O205" s="245"/>
    </row>
    <row r="206" spans="1:15" s="151" customFormat="1" ht="15">
      <c r="A206" s="245"/>
      <c r="G206" s="482"/>
      <c r="H206" s="482"/>
      <c r="I206" s="482"/>
      <c r="J206" s="482"/>
      <c r="K206" s="490"/>
      <c r="M206" s="245"/>
      <c r="N206" s="245"/>
      <c r="O206" s="245"/>
    </row>
    <row r="207" spans="1:15" s="151" customFormat="1" ht="15">
      <c r="A207" s="245"/>
      <c r="G207" s="482"/>
      <c r="H207" s="482"/>
      <c r="I207" s="482"/>
      <c r="J207" s="482"/>
      <c r="K207" s="490"/>
      <c r="M207" s="245"/>
      <c r="N207" s="245"/>
      <c r="O207" s="245"/>
    </row>
    <row r="208" spans="1:15" s="151" customFormat="1" ht="15">
      <c r="A208" s="245"/>
      <c r="G208" s="482"/>
      <c r="H208" s="482"/>
      <c r="I208" s="482"/>
      <c r="J208" s="482"/>
      <c r="K208" s="490"/>
      <c r="M208" s="245"/>
      <c r="N208" s="245"/>
      <c r="O208" s="245"/>
    </row>
    <row r="209" spans="1:15" s="151" customFormat="1" ht="15">
      <c r="A209" s="245"/>
      <c r="G209" s="482"/>
      <c r="H209" s="482"/>
      <c r="I209" s="482"/>
      <c r="J209" s="482"/>
      <c r="K209" s="490"/>
      <c r="M209" s="245"/>
      <c r="N209" s="245"/>
      <c r="O209" s="245"/>
    </row>
    <row r="210" spans="1:15" s="151" customFormat="1" ht="15">
      <c r="A210" s="245"/>
      <c r="G210" s="482"/>
      <c r="H210" s="482"/>
      <c r="I210" s="482"/>
      <c r="J210" s="482"/>
      <c r="K210" s="490"/>
      <c r="M210" s="245"/>
      <c r="N210" s="245"/>
      <c r="O210" s="245"/>
    </row>
    <row r="211" spans="1:15" s="151" customFormat="1" ht="15">
      <c r="A211" s="245"/>
      <c r="G211" s="482"/>
      <c r="H211" s="482"/>
      <c r="I211" s="482"/>
      <c r="J211" s="482"/>
      <c r="K211" s="490"/>
      <c r="M211" s="245"/>
      <c r="N211" s="245"/>
      <c r="O211" s="245"/>
    </row>
    <row r="212" spans="1:15" s="151" customFormat="1" ht="15">
      <c r="A212" s="245"/>
      <c r="G212" s="482"/>
      <c r="H212" s="482"/>
      <c r="I212" s="482"/>
      <c r="J212" s="482"/>
      <c r="K212" s="490"/>
      <c r="M212" s="245"/>
      <c r="N212" s="245"/>
      <c r="O212" s="245"/>
    </row>
    <row r="213" spans="1:15" s="151" customFormat="1" ht="15">
      <c r="A213" s="245"/>
      <c r="G213" s="482"/>
      <c r="H213" s="482"/>
      <c r="I213" s="482"/>
      <c r="J213" s="482"/>
      <c r="K213" s="490"/>
      <c r="M213" s="245"/>
      <c r="N213" s="245"/>
      <c r="O213" s="245"/>
    </row>
    <row r="214" spans="1:15" s="151" customFormat="1" ht="15">
      <c r="A214" s="245"/>
      <c r="G214" s="482"/>
      <c r="H214" s="482"/>
      <c r="I214" s="482"/>
      <c r="J214" s="482"/>
      <c r="K214" s="490"/>
      <c r="M214" s="245"/>
      <c r="N214" s="245"/>
      <c r="O214" s="245"/>
    </row>
    <row r="215" spans="1:15" s="151" customFormat="1" ht="15">
      <c r="A215" s="245"/>
      <c r="G215" s="482"/>
      <c r="H215" s="482"/>
      <c r="I215" s="482"/>
      <c r="J215" s="482"/>
      <c r="K215" s="490"/>
      <c r="M215" s="245"/>
      <c r="N215" s="245"/>
      <c r="O215" s="245"/>
    </row>
    <row r="216" spans="1:15" s="151" customFormat="1" ht="15">
      <c r="A216" s="245"/>
      <c r="G216" s="482"/>
      <c r="H216" s="482"/>
      <c r="I216" s="482"/>
      <c r="J216" s="482"/>
      <c r="K216" s="490"/>
      <c r="M216" s="245"/>
      <c r="N216" s="245"/>
      <c r="O216" s="245"/>
    </row>
    <row r="217" spans="1:15" s="151" customFormat="1" ht="15">
      <c r="A217" s="245"/>
      <c r="G217" s="482"/>
      <c r="H217" s="482"/>
      <c r="I217" s="482"/>
      <c r="J217" s="482"/>
      <c r="K217" s="490"/>
      <c r="M217" s="245"/>
      <c r="N217" s="245"/>
      <c r="O217" s="245"/>
    </row>
    <row r="218" spans="1:15" s="151" customFormat="1" ht="15">
      <c r="A218" s="245"/>
      <c r="G218" s="482"/>
      <c r="H218" s="482"/>
      <c r="I218" s="482"/>
      <c r="J218" s="482"/>
      <c r="K218" s="490"/>
      <c r="M218" s="245"/>
      <c r="N218" s="245"/>
      <c r="O218" s="245"/>
    </row>
    <row r="219" spans="1:15" s="151" customFormat="1" ht="15">
      <c r="A219" s="245"/>
      <c r="G219" s="482"/>
      <c r="H219" s="482"/>
      <c r="I219" s="482"/>
      <c r="J219" s="482"/>
      <c r="K219" s="490"/>
      <c r="M219" s="245"/>
      <c r="N219" s="245"/>
      <c r="O219" s="245"/>
    </row>
    <row r="220" spans="1:15" s="151" customFormat="1" ht="15">
      <c r="A220" s="245"/>
      <c r="G220" s="482"/>
      <c r="H220" s="482"/>
      <c r="I220" s="482"/>
      <c r="J220" s="482"/>
      <c r="K220" s="490"/>
      <c r="M220" s="245"/>
      <c r="N220" s="245"/>
      <c r="O220" s="245"/>
    </row>
    <row r="221" spans="1:15" s="151" customFormat="1" ht="15">
      <c r="A221" s="245"/>
      <c r="G221" s="482"/>
      <c r="H221" s="482"/>
      <c r="I221" s="482"/>
      <c r="J221" s="482"/>
      <c r="K221" s="490"/>
      <c r="M221" s="245"/>
      <c r="N221" s="245"/>
      <c r="O221" s="245"/>
    </row>
    <row r="222" spans="1:15" s="151" customFormat="1" ht="15">
      <c r="A222" s="245"/>
      <c r="G222" s="482"/>
      <c r="H222" s="482"/>
      <c r="I222" s="482"/>
      <c r="J222" s="482"/>
      <c r="K222" s="490"/>
      <c r="M222" s="245"/>
      <c r="N222" s="245"/>
      <c r="O222" s="245"/>
    </row>
    <row r="223" spans="1:15" s="151" customFormat="1" ht="15">
      <c r="A223" s="245"/>
      <c r="G223" s="482"/>
      <c r="H223" s="482"/>
      <c r="I223" s="482"/>
      <c r="J223" s="482"/>
      <c r="K223" s="490"/>
      <c r="M223" s="245"/>
      <c r="N223" s="245"/>
      <c r="O223" s="245"/>
    </row>
    <row r="224" spans="1:15" s="151" customFormat="1" ht="15">
      <c r="A224" s="245"/>
      <c r="G224" s="482"/>
      <c r="H224" s="482"/>
      <c r="I224" s="482"/>
      <c r="J224" s="482"/>
      <c r="K224" s="490"/>
      <c r="M224" s="245"/>
      <c r="N224" s="245"/>
      <c r="O224" s="245"/>
    </row>
    <row r="225" spans="1:15" s="151" customFormat="1" ht="15">
      <c r="A225" s="245"/>
      <c r="G225" s="482"/>
      <c r="H225" s="482"/>
      <c r="I225" s="482"/>
      <c r="J225" s="482"/>
      <c r="K225" s="490"/>
      <c r="M225" s="245"/>
      <c r="N225" s="245"/>
      <c r="O225" s="245"/>
    </row>
    <row r="226" spans="1:15" s="151" customFormat="1" ht="15">
      <c r="A226" s="245"/>
      <c r="G226" s="482"/>
      <c r="H226" s="482"/>
      <c r="I226" s="482"/>
      <c r="J226" s="482"/>
      <c r="K226" s="490"/>
      <c r="M226" s="245"/>
      <c r="N226" s="245"/>
      <c r="O226" s="245"/>
    </row>
    <row r="227" spans="1:15" s="151" customFormat="1" ht="15">
      <c r="A227" s="245"/>
      <c r="G227" s="482"/>
      <c r="H227" s="482"/>
      <c r="I227" s="482"/>
      <c r="J227" s="482"/>
      <c r="K227" s="490"/>
      <c r="M227" s="245"/>
      <c r="N227" s="245"/>
      <c r="O227" s="245"/>
    </row>
    <row r="228" spans="1:15" s="151" customFormat="1" ht="15">
      <c r="A228" s="245"/>
      <c r="G228" s="482"/>
      <c r="H228" s="482"/>
      <c r="I228" s="482"/>
      <c r="J228" s="482"/>
      <c r="K228" s="490"/>
      <c r="M228" s="245"/>
      <c r="N228" s="245"/>
      <c r="O228" s="245"/>
    </row>
    <row r="229" spans="1:15" s="151" customFormat="1" ht="15">
      <c r="A229" s="245"/>
      <c r="G229" s="482"/>
      <c r="H229" s="482"/>
      <c r="I229" s="482"/>
      <c r="J229" s="482"/>
      <c r="K229" s="490"/>
      <c r="M229" s="245"/>
      <c r="N229" s="245"/>
      <c r="O229" s="245"/>
    </row>
    <row r="230" spans="1:15" s="151" customFormat="1" ht="15">
      <c r="A230" s="245"/>
      <c r="G230" s="482"/>
      <c r="H230" s="482"/>
      <c r="I230" s="482"/>
      <c r="J230" s="482"/>
      <c r="K230" s="490"/>
      <c r="M230" s="245"/>
      <c r="N230" s="245"/>
      <c r="O230" s="245"/>
    </row>
    <row r="231" spans="1:15" s="151" customFormat="1" ht="15">
      <c r="A231" s="245"/>
      <c r="G231" s="482"/>
      <c r="H231" s="482"/>
      <c r="I231" s="482"/>
      <c r="J231" s="482"/>
      <c r="K231" s="490"/>
      <c r="M231" s="245"/>
      <c r="N231" s="245"/>
      <c r="O231" s="245"/>
    </row>
    <row r="232" spans="1:15" s="151" customFormat="1" ht="15">
      <c r="A232" s="245"/>
      <c r="G232" s="482"/>
      <c r="H232" s="482"/>
      <c r="I232" s="482"/>
      <c r="J232" s="482"/>
      <c r="K232" s="490"/>
      <c r="M232" s="245"/>
      <c r="N232" s="245"/>
      <c r="O232" s="245"/>
    </row>
    <row r="233" spans="1:15" s="151" customFormat="1" ht="15">
      <c r="A233" s="245"/>
      <c r="G233" s="482"/>
      <c r="H233" s="482"/>
      <c r="I233" s="482"/>
      <c r="J233" s="482"/>
      <c r="K233" s="490"/>
      <c r="M233" s="245"/>
      <c r="N233" s="245"/>
      <c r="O233" s="245"/>
    </row>
    <row r="234" spans="1:15" s="151" customFormat="1" ht="15">
      <c r="A234" s="245"/>
      <c r="G234" s="482"/>
      <c r="H234" s="482"/>
      <c r="I234" s="482"/>
      <c r="J234" s="482"/>
      <c r="K234" s="490"/>
      <c r="M234" s="245"/>
      <c r="N234" s="245"/>
      <c r="O234" s="245"/>
    </row>
    <row r="235" spans="1:15" s="151" customFormat="1" ht="15">
      <c r="A235" s="245"/>
      <c r="G235" s="482"/>
      <c r="H235" s="482"/>
      <c r="I235" s="482"/>
      <c r="J235" s="482"/>
      <c r="K235" s="490"/>
      <c r="M235" s="245"/>
      <c r="N235" s="245"/>
      <c r="O235" s="245"/>
    </row>
    <row r="236" spans="1:15" s="151" customFormat="1" ht="15">
      <c r="A236" s="245"/>
      <c r="G236" s="482"/>
      <c r="H236" s="482"/>
      <c r="I236" s="482"/>
      <c r="J236" s="482"/>
      <c r="K236" s="490"/>
      <c r="M236" s="245"/>
      <c r="N236" s="245"/>
      <c r="O236" s="245"/>
    </row>
    <row r="237" spans="1:15" s="151" customFormat="1" ht="15">
      <c r="A237" s="245"/>
      <c r="G237" s="482"/>
      <c r="H237" s="482"/>
      <c r="I237" s="482"/>
      <c r="J237" s="482"/>
      <c r="K237" s="490"/>
      <c r="M237" s="245"/>
      <c r="N237" s="245"/>
      <c r="O237" s="245"/>
    </row>
    <row r="238" spans="1:15" s="151" customFormat="1" ht="15">
      <c r="A238" s="245"/>
      <c r="G238" s="482"/>
      <c r="H238" s="482"/>
      <c r="I238" s="482"/>
      <c r="J238" s="482"/>
      <c r="K238" s="490"/>
      <c r="M238" s="245"/>
      <c r="N238" s="245"/>
      <c r="O238" s="245"/>
    </row>
    <row r="239" spans="1:15" s="151" customFormat="1" ht="15">
      <c r="A239" s="245"/>
      <c r="G239" s="482"/>
      <c r="H239" s="482"/>
      <c r="I239" s="482"/>
      <c r="J239" s="482"/>
      <c r="K239" s="490"/>
      <c r="M239" s="245"/>
      <c r="N239" s="245"/>
      <c r="O239" s="245"/>
    </row>
    <row r="240" spans="1:15" s="151" customFormat="1" ht="15">
      <c r="A240" s="245"/>
      <c r="G240" s="482"/>
      <c r="H240" s="482"/>
      <c r="I240" s="482"/>
      <c r="J240" s="482"/>
      <c r="K240" s="490"/>
      <c r="M240" s="245"/>
      <c r="N240" s="245"/>
      <c r="O240" s="245"/>
    </row>
    <row r="241" spans="1:15" s="151" customFormat="1" ht="15">
      <c r="A241" s="245"/>
      <c r="G241" s="482"/>
      <c r="H241" s="482"/>
      <c r="I241" s="482"/>
      <c r="J241" s="482"/>
      <c r="K241" s="490"/>
      <c r="M241" s="245"/>
      <c r="N241" s="245"/>
      <c r="O241" s="245"/>
    </row>
    <row r="242" spans="1:15" s="151" customFormat="1" ht="15">
      <c r="A242" s="245"/>
      <c r="G242" s="482"/>
      <c r="H242" s="482"/>
      <c r="I242" s="482"/>
      <c r="J242" s="482"/>
      <c r="K242" s="490"/>
      <c r="M242" s="245"/>
      <c r="N242" s="245"/>
      <c r="O242" s="245"/>
    </row>
    <row r="243" spans="1:15" s="151" customFormat="1" ht="15">
      <c r="A243" s="245"/>
      <c r="G243" s="482"/>
      <c r="H243" s="482"/>
      <c r="I243" s="482"/>
      <c r="J243" s="482"/>
      <c r="K243" s="490"/>
      <c r="M243" s="245"/>
      <c r="N243" s="245"/>
      <c r="O243" s="245"/>
    </row>
    <row r="244" spans="1:15" s="151" customFormat="1" ht="15">
      <c r="A244" s="245"/>
      <c r="G244" s="482"/>
      <c r="H244" s="482"/>
      <c r="I244" s="482"/>
      <c r="J244" s="482"/>
      <c r="K244" s="490"/>
      <c r="M244" s="245"/>
      <c r="N244" s="245"/>
      <c r="O244" s="245"/>
    </row>
    <row r="245" spans="1:15" s="151" customFormat="1" ht="15">
      <c r="A245" s="245"/>
      <c r="G245" s="482"/>
      <c r="H245" s="482"/>
      <c r="I245" s="482"/>
      <c r="J245" s="482"/>
      <c r="K245" s="490"/>
      <c r="M245" s="245"/>
      <c r="N245" s="245"/>
      <c r="O245" s="245"/>
    </row>
    <row r="246" spans="1:15" s="151" customFormat="1" ht="15">
      <c r="A246" s="245"/>
      <c r="G246" s="482"/>
      <c r="H246" s="482"/>
      <c r="I246" s="482"/>
      <c r="J246" s="482"/>
      <c r="K246" s="490"/>
      <c r="M246" s="245"/>
      <c r="N246" s="245"/>
      <c r="O246" s="245"/>
    </row>
    <row r="247" spans="1:15" s="151" customFormat="1" ht="15">
      <c r="A247" s="1041"/>
      <c r="G247" s="482"/>
      <c r="H247" s="482"/>
      <c r="I247" s="482"/>
      <c r="J247" s="482"/>
      <c r="K247" s="490"/>
      <c r="M247" s="490"/>
      <c r="N247" s="490"/>
      <c r="O247" s="490"/>
    </row>
    <row r="248" spans="1:15" s="151" customFormat="1" ht="15">
      <c r="A248" s="1041" t="str">
        <f>'прейск-т'!A1221</f>
        <v>Экономист</v>
      </c>
      <c r="G248" s="482"/>
      <c r="H248" s="482"/>
      <c r="I248" s="482"/>
      <c r="J248" s="482"/>
      <c r="K248" s="490"/>
      <c r="M248" s="245">
        <f>'прейск-т'!K1221</f>
        <v>0</v>
      </c>
      <c r="N248" s="245"/>
      <c r="O248" s="245"/>
    </row>
    <row r="249" spans="1:12" s="151" customFormat="1" ht="15">
      <c r="A249" s="158"/>
      <c r="B249" s="207"/>
      <c r="C249" s="207"/>
      <c r="D249" s="207"/>
      <c r="E249" s="207"/>
      <c r="F249" s="207"/>
      <c r="G249" s="207"/>
      <c r="H249" s="207"/>
      <c r="I249" s="275"/>
      <c r="L249" s="152"/>
    </row>
    <row r="250" spans="1:12" s="151" customFormat="1" ht="15">
      <c r="A250" s="158"/>
      <c r="B250" s="207"/>
      <c r="C250" s="207"/>
      <c r="D250" s="207"/>
      <c r="E250" s="207"/>
      <c r="F250" s="207"/>
      <c r="G250" s="207"/>
      <c r="H250" s="207"/>
      <c r="I250" s="275"/>
      <c r="L250" s="152"/>
    </row>
    <row r="251" spans="1:12" s="151" customFormat="1" ht="15">
      <c r="A251" s="158"/>
      <c r="B251" s="207"/>
      <c r="C251" s="207"/>
      <c r="D251" s="207"/>
      <c r="E251" s="207"/>
      <c r="F251" s="207"/>
      <c r="G251" s="207"/>
      <c r="H251" s="207"/>
      <c r="I251" s="275"/>
      <c r="L251" s="152"/>
    </row>
    <row r="252" spans="1:12" s="151" customFormat="1" ht="15">
      <c r="A252" s="158"/>
      <c r="B252" s="207"/>
      <c r="C252" s="207"/>
      <c r="D252" s="207"/>
      <c r="E252" s="207"/>
      <c r="F252" s="207"/>
      <c r="G252" s="207"/>
      <c r="H252" s="207"/>
      <c r="I252" s="275"/>
      <c r="L252" s="152"/>
    </row>
    <row r="253" spans="1:12" s="151" customFormat="1" ht="15">
      <c r="A253" s="158"/>
      <c r="B253" s="207"/>
      <c r="C253" s="207"/>
      <c r="D253" s="207"/>
      <c r="E253" s="207"/>
      <c r="F253" s="207"/>
      <c r="G253" s="207"/>
      <c r="H253" s="207"/>
      <c r="I253" s="275"/>
      <c r="L253" s="152"/>
    </row>
  </sheetData>
  <sheetProtection/>
  <mergeCells count="32">
    <mergeCell ref="M14:N14"/>
    <mergeCell ref="J12:K12"/>
    <mergeCell ref="M12:P12"/>
    <mergeCell ref="M13:P13"/>
    <mergeCell ref="O14:P14"/>
    <mergeCell ref="B51:H51"/>
    <mergeCell ref="B44:H44"/>
    <mergeCell ref="B21:H21"/>
    <mergeCell ref="B28:H28"/>
    <mergeCell ref="B34:H34"/>
    <mergeCell ref="A5:P5"/>
    <mergeCell ref="A8:P8"/>
    <mergeCell ref="A9:P9"/>
    <mergeCell ref="A12:A18"/>
    <mergeCell ref="J13:K13"/>
    <mergeCell ref="B126:H126"/>
    <mergeCell ref="A72:P72"/>
    <mergeCell ref="A75:P75"/>
    <mergeCell ref="A76:P76"/>
    <mergeCell ref="B88:H88"/>
    <mergeCell ref="B101:H101"/>
    <mergeCell ref="B118:H118"/>
    <mergeCell ref="A79:A85"/>
    <mergeCell ref="M80:P80"/>
    <mergeCell ref="J79:K79"/>
    <mergeCell ref="B59:H59"/>
    <mergeCell ref="O81:P81"/>
    <mergeCell ref="J80:K80"/>
    <mergeCell ref="B111:H111"/>
    <mergeCell ref="M81:N81"/>
    <mergeCell ref="B95:H95"/>
    <mergeCell ref="M79:P79"/>
  </mergeCells>
  <printOptions/>
  <pageMargins left="0.75" right="0.75" top="1" bottom="1" header="0.5" footer="0.5"/>
  <pageSetup horizontalDpi="600" verticalDpi="600" orientation="portrait" paperSize="9" scale="64" r:id="rId1"/>
  <rowBreaks count="1" manualBreakCount="1">
    <brk id="6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P60"/>
  <sheetViews>
    <sheetView view="pageBreakPreview" zoomScaleSheetLayoutView="100" zoomScalePageLayoutView="0" workbookViewId="0" topLeftCell="A37">
      <selection activeCell="L24" sqref="L24"/>
    </sheetView>
  </sheetViews>
  <sheetFormatPr defaultColWidth="9.140625" defaultRowHeight="12.75"/>
  <cols>
    <col min="1" max="1" width="3.8515625" style="0" customWidth="1"/>
    <col min="2" max="2" width="1.57421875" style="0" customWidth="1"/>
    <col min="3" max="3" width="9.8515625" style="0" customWidth="1"/>
    <col min="4" max="4" width="10.421875" style="0" customWidth="1"/>
    <col min="6" max="6" width="15.140625" style="0" customWidth="1"/>
    <col min="8" max="8" width="8.140625" style="0" customWidth="1"/>
    <col min="9" max="9" width="13.421875" style="0" bestFit="1" customWidth="1"/>
    <col min="10" max="10" width="7.421875" style="0" hidden="1" customWidth="1"/>
    <col min="11" max="11" width="13.421875" style="0" bestFit="1" customWidth="1"/>
    <col min="12" max="12" width="11.7109375" style="0" bestFit="1" customWidth="1"/>
    <col min="13" max="13" width="8.140625" style="0" customWidth="1"/>
  </cols>
  <sheetData>
    <row r="1" spans="14:16" ht="12.75" customHeight="1">
      <c r="N1" s="2448" t="s">
        <v>178</v>
      </c>
      <c r="O1" s="2448"/>
      <c r="P1" s="1903"/>
    </row>
    <row r="2" spans="13:16" ht="12.75">
      <c r="M2" s="1080" t="s">
        <v>437</v>
      </c>
      <c r="N2" s="1080"/>
      <c r="O2" s="1080"/>
      <c r="P2" s="1080"/>
    </row>
    <row r="3" spans="13:16" ht="12.75">
      <c r="M3" s="1080" t="s">
        <v>405</v>
      </c>
      <c r="N3" s="1080"/>
      <c r="O3" s="1080"/>
      <c r="P3" s="1080"/>
    </row>
    <row r="4" spans="13:15" ht="12" customHeight="1">
      <c r="M4" s="1901">
        <f>'лаб-рия'!L4</f>
        <v>1</v>
      </c>
      <c r="N4" s="1901" t="str">
        <f>'лаб-рия'!M4</f>
        <v>июля</v>
      </c>
      <c r="O4" s="1901" t="str">
        <f>'лаб-рия'!N4</f>
        <v>2017 г.</v>
      </c>
    </row>
    <row r="5" spans="1:12" ht="42.75" customHeight="1">
      <c r="A5" s="2223" t="s">
        <v>439</v>
      </c>
      <c r="B5" s="2223"/>
      <c r="C5" s="2223"/>
      <c r="D5" s="2223"/>
      <c r="E5" s="2223"/>
      <c r="F5" s="2223"/>
      <c r="G5" s="2223"/>
      <c r="H5" s="2223"/>
      <c r="I5" s="2223"/>
      <c r="J5" s="2223"/>
      <c r="K5" s="2223"/>
      <c r="L5" s="2223"/>
    </row>
    <row r="6" spans="1:15" ht="18.75">
      <c r="A6" s="2223" t="s">
        <v>440</v>
      </c>
      <c r="B6" s="2223"/>
      <c r="C6" s="2223"/>
      <c r="D6" s="2223"/>
      <c r="E6" s="2223"/>
      <c r="F6" s="2223"/>
      <c r="G6" s="2223"/>
      <c r="H6" s="2223"/>
      <c r="I6" s="2223"/>
      <c r="J6" s="2223"/>
      <c r="K6" s="2223"/>
      <c r="L6" s="2223"/>
      <c r="M6" s="2223"/>
      <c r="N6" s="2223"/>
      <c r="O6" s="2223"/>
    </row>
    <row r="7" spans="9:12" ht="12.75">
      <c r="I7" s="1080"/>
      <c r="J7" s="1080"/>
      <c r="K7" s="1080"/>
      <c r="L7" s="1080"/>
    </row>
    <row r="8" spans="1:12" ht="12.75" customHeight="1">
      <c r="A8" s="1069"/>
      <c r="B8" s="1069"/>
      <c r="C8" s="1069"/>
      <c r="D8" s="1069"/>
      <c r="E8" s="1069"/>
      <c r="F8" s="1069"/>
      <c r="G8" s="2449"/>
      <c r="H8" s="2449"/>
      <c r="I8" s="2449"/>
      <c r="J8" s="2450"/>
      <c r="K8" s="2450"/>
      <c r="L8" s="2450"/>
    </row>
    <row r="9" spans="1:12" ht="12.75" customHeight="1">
      <c r="A9" s="1070"/>
      <c r="B9" s="1071"/>
      <c r="C9" s="1072"/>
      <c r="D9" s="1072"/>
      <c r="E9" s="1072"/>
      <c r="G9" s="2449"/>
      <c r="H9" s="2449"/>
      <c r="I9" s="2449"/>
      <c r="J9" s="2450"/>
      <c r="K9" s="2450"/>
      <c r="L9" s="2450"/>
    </row>
    <row r="10" spans="1:12" ht="12.75">
      <c r="A10" s="1070"/>
      <c r="B10" s="1071"/>
      <c r="C10" s="1072"/>
      <c r="D10" s="1072"/>
      <c r="E10" s="1072"/>
      <c r="F10" s="1071"/>
      <c r="G10" s="1712"/>
      <c r="H10" s="1713"/>
      <c r="I10" s="1714"/>
      <c r="J10" s="1712"/>
      <c r="K10" s="1713"/>
      <c r="L10" s="1714"/>
    </row>
    <row r="11" spans="1:12" ht="12.75">
      <c r="A11" s="1070"/>
      <c r="B11" s="1071"/>
      <c r="C11" s="1072"/>
      <c r="D11" s="1072"/>
      <c r="E11" s="1072"/>
      <c r="F11" s="1071"/>
      <c r="G11" s="1712"/>
      <c r="H11" s="1713"/>
      <c r="I11" s="1714"/>
      <c r="J11" s="1712"/>
      <c r="K11" s="1713"/>
      <c r="L11" s="1714"/>
    </row>
    <row r="12" spans="1:12" ht="12.75">
      <c r="A12" s="1070"/>
      <c r="B12" s="1071"/>
      <c r="C12" s="1072"/>
      <c r="D12" s="1072"/>
      <c r="E12" s="1072"/>
      <c r="F12" s="1071"/>
      <c r="G12" s="1715"/>
      <c r="H12" s="1713"/>
      <c r="I12" s="1714"/>
      <c r="J12" s="1715"/>
      <c r="K12" s="1713"/>
      <c r="L12" s="1714"/>
    </row>
    <row r="13" spans="1:12" ht="12.75">
      <c r="A13" s="1081"/>
      <c r="B13" s="1081"/>
      <c r="C13" s="1082" t="s">
        <v>441</v>
      </c>
      <c r="D13" s="1083" t="str">
        <f>'бак.лаб.'!C78</f>
        <v>01.07.2017г.</v>
      </c>
      <c r="E13" s="1081"/>
      <c r="F13" s="1081"/>
      <c r="G13" s="1710"/>
      <c r="H13" s="1711"/>
      <c r="I13" s="1714"/>
      <c r="J13" s="1710"/>
      <c r="K13" s="1711"/>
      <c r="L13" s="1714"/>
    </row>
    <row r="14" spans="1:15" ht="12.75" customHeight="1" hidden="1">
      <c r="A14" s="1087"/>
      <c r="B14" s="1088"/>
      <c r="C14" s="1089"/>
      <c r="D14" s="1089"/>
      <c r="E14" s="1089"/>
      <c r="F14" s="1089"/>
      <c r="G14" s="1089"/>
      <c r="H14" s="1722"/>
      <c r="I14" s="1087"/>
      <c r="J14" s="2196" t="s">
        <v>485</v>
      </c>
      <c r="K14" s="2196"/>
      <c r="L14" s="2196"/>
      <c r="M14" s="2190" t="s">
        <v>498</v>
      </c>
      <c r="N14" s="2190"/>
      <c r="O14" s="2190"/>
    </row>
    <row r="15" spans="1:15" ht="12.75" customHeight="1" hidden="1">
      <c r="A15" s="1093"/>
      <c r="B15" s="1091"/>
      <c r="C15" s="1092"/>
      <c r="D15" s="1092"/>
      <c r="E15" s="1092"/>
      <c r="F15" s="1092"/>
      <c r="G15" s="1092"/>
      <c r="H15" s="1723"/>
      <c r="I15" s="1093"/>
      <c r="J15" s="2222"/>
      <c r="K15" s="2222"/>
      <c r="L15" s="2222"/>
      <c r="M15" s="2202"/>
      <c r="N15" s="2202"/>
      <c r="O15" s="2202"/>
    </row>
    <row r="16" spans="1:15" ht="12.75" customHeight="1">
      <c r="A16" s="1087"/>
      <c r="B16" s="1088"/>
      <c r="C16" s="1089"/>
      <c r="D16" s="1089"/>
      <c r="E16" s="1089"/>
      <c r="F16" s="1089"/>
      <c r="G16" s="1089"/>
      <c r="H16" s="1722"/>
      <c r="I16" s="1087"/>
      <c r="J16" s="615"/>
      <c r="K16" s="1898" t="s">
        <v>442</v>
      </c>
      <c r="L16" s="1899" t="s">
        <v>443</v>
      </c>
      <c r="M16" s="615"/>
      <c r="N16" s="1898" t="s">
        <v>442</v>
      </c>
      <c r="O16" s="1899" t="s">
        <v>443</v>
      </c>
    </row>
    <row r="17" spans="1:15" ht="12.75" customHeight="1">
      <c r="A17" s="1090" t="s">
        <v>444</v>
      </c>
      <c r="B17" s="1091"/>
      <c r="C17" s="1092"/>
      <c r="D17" s="1092"/>
      <c r="E17" s="1092" t="s">
        <v>445</v>
      </c>
      <c r="F17" s="1092"/>
      <c r="G17" s="1092"/>
      <c r="H17" s="1723"/>
      <c r="I17" s="1093" t="s">
        <v>446</v>
      </c>
      <c r="J17" s="616" t="s">
        <v>447</v>
      </c>
      <c r="K17" s="105" t="s">
        <v>448</v>
      </c>
      <c r="L17" s="61" t="s">
        <v>449</v>
      </c>
      <c r="M17" s="616" t="s">
        <v>447</v>
      </c>
      <c r="N17" s="105" t="s">
        <v>448</v>
      </c>
      <c r="O17" s="61" t="s">
        <v>449</v>
      </c>
    </row>
    <row r="18" spans="1:15" ht="12.75">
      <c r="A18" s="1090" t="s">
        <v>450</v>
      </c>
      <c r="B18" s="1095"/>
      <c r="C18" s="1096"/>
      <c r="D18" s="1096"/>
      <c r="E18" s="1096"/>
      <c r="F18" s="1096"/>
      <c r="G18" s="1096"/>
      <c r="H18" s="1724"/>
      <c r="I18" s="1090" t="s">
        <v>451</v>
      </c>
      <c r="J18" s="617"/>
      <c r="K18" s="105" t="s">
        <v>452</v>
      </c>
      <c r="L18" s="61" t="s">
        <v>453</v>
      </c>
      <c r="M18" s="617"/>
      <c r="N18" s="105" t="s">
        <v>452</v>
      </c>
      <c r="O18" s="61" t="s">
        <v>453</v>
      </c>
    </row>
    <row r="19" spans="1:15" ht="12.75">
      <c r="A19" s="1097"/>
      <c r="B19" s="1098"/>
      <c r="C19" s="1099"/>
      <c r="D19" s="1099"/>
      <c r="E19" s="1099"/>
      <c r="F19" s="1099"/>
      <c r="G19" s="1099"/>
      <c r="H19" s="1725"/>
      <c r="I19" s="1097"/>
      <c r="J19" s="618" t="s">
        <v>457</v>
      </c>
      <c r="K19" s="628" t="s">
        <v>457</v>
      </c>
      <c r="L19" s="547" t="s">
        <v>457</v>
      </c>
      <c r="M19" s="618" t="s">
        <v>457</v>
      </c>
      <c r="N19" s="628" t="s">
        <v>457</v>
      </c>
      <c r="O19" s="547" t="s">
        <v>457</v>
      </c>
    </row>
    <row r="20" spans="1:15" ht="12.75">
      <c r="A20" s="1093"/>
      <c r="B20" s="1092"/>
      <c r="C20" s="2452" t="s">
        <v>771</v>
      </c>
      <c r="D20" s="2452"/>
      <c r="E20" s="1092"/>
      <c r="F20" s="1092"/>
      <c r="G20" s="1092"/>
      <c r="H20" s="1092"/>
      <c r="I20" s="1093"/>
      <c r="J20" s="1190"/>
      <c r="K20" s="1191"/>
      <c r="L20" s="1094"/>
      <c r="M20" s="1716"/>
      <c r="N20" s="1716"/>
      <c r="O20" s="1716"/>
    </row>
    <row r="21" spans="1:15" ht="23.25" customHeight="1">
      <c r="A21" s="1100"/>
      <c r="B21" s="1079" t="s">
        <v>620</v>
      </c>
      <c r="C21" s="1077"/>
      <c r="D21" s="1077"/>
      <c r="E21" s="1077"/>
      <c r="F21" s="1085"/>
      <c r="G21" s="1101"/>
      <c r="H21" s="1101"/>
      <c r="I21" s="1100"/>
      <c r="J21" s="1102"/>
      <c r="K21" s="1103"/>
      <c r="L21" s="1104"/>
      <c r="M21" s="1717"/>
      <c r="N21" s="1717"/>
      <c r="O21" s="1717"/>
    </row>
    <row r="22" spans="1:15" ht="12.75">
      <c r="A22" s="1075"/>
      <c r="B22" s="1076" t="s">
        <v>621</v>
      </c>
      <c r="C22" s="1077"/>
      <c r="D22" s="1077"/>
      <c r="E22" s="1077"/>
      <c r="F22" s="1077"/>
      <c r="G22" s="1077"/>
      <c r="H22" s="1077"/>
      <c r="I22" s="1105"/>
      <c r="J22" s="1073"/>
      <c r="K22" s="1074"/>
      <c r="L22" s="1106"/>
      <c r="M22" s="1717"/>
      <c r="N22" s="1717"/>
      <c r="O22" s="1717"/>
    </row>
    <row r="23" spans="1:15" ht="12.75">
      <c r="A23" s="1075"/>
      <c r="B23" s="1078" t="s">
        <v>622</v>
      </c>
      <c r="C23" s="1079" t="s">
        <v>623</v>
      </c>
      <c r="D23" s="1077"/>
      <c r="E23" s="1077"/>
      <c r="F23" s="1077"/>
      <c r="G23" s="1077"/>
      <c r="H23" s="1077"/>
      <c r="I23" s="1105"/>
      <c r="J23" s="1073"/>
      <c r="K23" s="1074"/>
      <c r="L23" s="1106"/>
      <c r="M23" s="1717"/>
      <c r="N23" s="1717"/>
      <c r="O23" s="1717"/>
    </row>
    <row r="24" spans="1:15" ht="12.75">
      <c r="A24" s="1107">
        <v>1</v>
      </c>
      <c r="B24" s="1076"/>
      <c r="C24" s="1108" t="s">
        <v>624</v>
      </c>
      <c r="D24" s="1077"/>
      <c r="E24" s="1077"/>
      <c r="F24" s="1077"/>
      <c r="G24" s="1077"/>
      <c r="H24" s="1077"/>
      <c r="I24" s="1105" t="s">
        <v>573</v>
      </c>
      <c r="J24" s="1156">
        <f>'прейск-т'!J258</f>
        <v>30100</v>
      </c>
      <c r="K24" s="1319">
        <f>'[1]Лист1'!$G$12</f>
        <v>0.16</v>
      </c>
      <c r="L24" s="1109">
        <f>SUM(J24:K24)</f>
        <v>30100.16</v>
      </c>
      <c r="M24" s="1720">
        <f>J24/10000</f>
        <v>3.01</v>
      </c>
      <c r="N24" s="2121">
        <f>K24</f>
        <v>0.16</v>
      </c>
      <c r="O24" s="1721">
        <f>M24+N24</f>
        <v>3.17</v>
      </c>
    </row>
    <row r="25" spans="1:15" ht="12.75">
      <c r="A25" s="1107">
        <v>2</v>
      </c>
      <c r="B25" s="1076"/>
      <c r="C25" s="1108" t="s">
        <v>625</v>
      </c>
      <c r="D25" s="1077"/>
      <c r="E25" s="1077"/>
      <c r="F25" s="1077"/>
      <c r="G25" s="1077" t="s">
        <v>626</v>
      </c>
      <c r="H25" s="1077"/>
      <c r="I25" s="1105" t="s">
        <v>573</v>
      </c>
      <c r="J25" s="1156">
        <f>'прейск-т'!J259</f>
        <v>30100</v>
      </c>
      <c r="K25" s="1319">
        <f>'[1]Лист1'!$G$18</f>
        <v>4.69</v>
      </c>
      <c r="L25" s="1109">
        <f aca="true" t="shared" si="0" ref="L25:L51">SUM(J25:K25)</f>
        <v>30104.69</v>
      </c>
      <c r="M25" s="1720">
        <f>J25/10000</f>
        <v>3.01</v>
      </c>
      <c r="N25" s="2121">
        <f>K25</f>
        <v>4.69</v>
      </c>
      <c r="O25" s="1721">
        <f>M25+N25</f>
        <v>7.7</v>
      </c>
    </row>
    <row r="26" spans="1:15" ht="12.75">
      <c r="A26" s="1107"/>
      <c r="B26" s="1076"/>
      <c r="C26" s="1108"/>
      <c r="D26" s="1077"/>
      <c r="E26" s="1077"/>
      <c r="F26" s="1077"/>
      <c r="G26" s="1077" t="s">
        <v>627</v>
      </c>
      <c r="H26" s="1077"/>
      <c r="I26" s="1105" t="s">
        <v>573</v>
      </c>
      <c r="J26" s="1156">
        <f>'прейск-т'!J260</f>
        <v>45100</v>
      </c>
      <c r="K26" s="1319">
        <f>'[1]Лист1'!$G$23</f>
        <v>4.69</v>
      </c>
      <c r="L26" s="1109">
        <f t="shared" si="0"/>
        <v>45104.69</v>
      </c>
      <c r="M26" s="1720">
        <f aca="true" t="shared" si="1" ref="M26:M51">J26/10000</f>
        <v>4.51</v>
      </c>
      <c r="N26" s="2121">
        <f>K26</f>
        <v>4.69</v>
      </c>
      <c r="O26" s="1721">
        <f aca="true" t="shared" si="2" ref="O26:O51">M26+N26</f>
        <v>9.2</v>
      </c>
    </row>
    <row r="27" spans="1:15" ht="12.75">
      <c r="A27" s="1107">
        <v>3</v>
      </c>
      <c r="B27" s="1076"/>
      <c r="C27" s="1108" t="s">
        <v>631</v>
      </c>
      <c r="D27" s="1077"/>
      <c r="E27" s="1077"/>
      <c r="F27" s="1077"/>
      <c r="G27" s="1077"/>
      <c r="H27" s="1077"/>
      <c r="I27" s="1105" t="s">
        <v>573</v>
      </c>
      <c r="J27" s="1156">
        <f>'прейск-т'!J263</f>
        <v>45100</v>
      </c>
      <c r="K27" s="1319">
        <f>'[1]Лист1'!$G$61</f>
        <v>5.6850000000000005</v>
      </c>
      <c r="L27" s="1109">
        <f t="shared" si="0"/>
        <v>45105.685</v>
      </c>
      <c r="M27" s="1720">
        <f t="shared" si="1"/>
        <v>4.51</v>
      </c>
      <c r="N27" s="2121">
        <f>K27</f>
        <v>5.6850000000000005</v>
      </c>
      <c r="O27" s="2122">
        <f t="shared" si="2"/>
        <v>10.195</v>
      </c>
    </row>
    <row r="28" spans="1:15" ht="12.75">
      <c r="A28" s="1107">
        <v>4</v>
      </c>
      <c r="B28" s="1076"/>
      <c r="C28" s="1108" t="s">
        <v>632</v>
      </c>
      <c r="D28" s="1077"/>
      <c r="E28" s="1077"/>
      <c r="F28" s="1077"/>
      <c r="G28" s="1077"/>
      <c r="H28" s="1077"/>
      <c r="I28" s="1105" t="s">
        <v>573</v>
      </c>
      <c r="J28" s="1156">
        <f>'прейск-т'!J264</f>
        <v>30100</v>
      </c>
      <c r="K28" s="1319">
        <f>'[1]Лист1'!$G$66</f>
        <v>46900</v>
      </c>
      <c r="L28" s="1109">
        <f t="shared" si="0"/>
        <v>77000</v>
      </c>
      <c r="M28" s="1720">
        <f t="shared" si="1"/>
        <v>3.01</v>
      </c>
      <c r="N28" s="1719">
        <f>K28/10000</f>
        <v>4.69</v>
      </c>
      <c r="O28" s="1721">
        <f t="shared" si="2"/>
        <v>7.7</v>
      </c>
    </row>
    <row r="29" spans="1:15" ht="12.75">
      <c r="A29" s="1107">
        <v>5</v>
      </c>
      <c r="B29" s="1076"/>
      <c r="C29" s="1108" t="s">
        <v>636</v>
      </c>
      <c r="D29" s="1077"/>
      <c r="E29" s="1077"/>
      <c r="F29" s="1077"/>
      <c r="G29" s="1077"/>
      <c r="H29" s="1077"/>
      <c r="I29" s="1105" t="s">
        <v>573</v>
      </c>
      <c r="J29" s="1156">
        <f>'прейск-т'!J270</f>
        <v>30100</v>
      </c>
      <c r="K29" s="1319">
        <f>'[1]Лист1'!$G$94</f>
        <v>0.16</v>
      </c>
      <c r="L29" s="1109">
        <f t="shared" si="0"/>
        <v>30100.16</v>
      </c>
      <c r="M29" s="1720">
        <f t="shared" si="1"/>
        <v>3.01</v>
      </c>
      <c r="N29" s="2121">
        <f>K29</f>
        <v>0.16</v>
      </c>
      <c r="O29" s="1721">
        <f t="shared" si="2"/>
        <v>3.17</v>
      </c>
    </row>
    <row r="30" spans="1:15" ht="12.75">
      <c r="A30" s="1107">
        <v>6</v>
      </c>
      <c r="B30" s="1076"/>
      <c r="C30" s="1108" t="s">
        <v>637</v>
      </c>
      <c r="D30" s="1077"/>
      <c r="E30" s="1077"/>
      <c r="F30" s="1077"/>
      <c r="G30" s="1077"/>
      <c r="H30" s="1077"/>
      <c r="I30" s="1105" t="s">
        <v>573</v>
      </c>
      <c r="J30" s="1156">
        <f>'прейск-т'!J271</f>
        <v>45100</v>
      </c>
      <c r="K30" s="1319">
        <f>'[1]Лист1'!$G$99</f>
        <v>4.69</v>
      </c>
      <c r="L30" s="1109">
        <f t="shared" si="0"/>
        <v>45104.69</v>
      </c>
      <c r="M30" s="1720">
        <f t="shared" si="1"/>
        <v>4.51</v>
      </c>
      <c r="N30" s="2121">
        <f>K30</f>
        <v>4.69</v>
      </c>
      <c r="O30" s="1721">
        <f t="shared" si="2"/>
        <v>9.2</v>
      </c>
    </row>
    <row r="31" spans="1:15" ht="13.5" customHeight="1">
      <c r="A31" s="1107">
        <v>7</v>
      </c>
      <c r="B31" s="1076"/>
      <c r="C31" s="1108" t="s">
        <v>638</v>
      </c>
      <c r="D31" s="1077"/>
      <c r="E31" s="1077"/>
      <c r="F31" s="1077"/>
      <c r="G31" s="1077"/>
      <c r="H31" s="1077"/>
      <c r="I31" s="1105" t="s">
        <v>573</v>
      </c>
      <c r="J31" s="1156">
        <f>'прейск-т'!J272</f>
        <v>30100</v>
      </c>
      <c r="K31" s="1320">
        <f>'[1]Лист1'!$G$105</f>
        <v>6.680000000000001</v>
      </c>
      <c r="L31" s="1109">
        <f t="shared" si="0"/>
        <v>30106.68</v>
      </c>
      <c r="M31" s="1720">
        <f t="shared" si="1"/>
        <v>3.01</v>
      </c>
      <c r="N31" s="2121">
        <f>K31</f>
        <v>6.680000000000001</v>
      </c>
      <c r="O31" s="1721">
        <f t="shared" si="2"/>
        <v>9.690000000000001</v>
      </c>
    </row>
    <row r="32" spans="1:15" ht="12.75">
      <c r="A32" s="1107">
        <v>8</v>
      </c>
      <c r="B32" s="1076"/>
      <c r="C32" s="1108" t="s">
        <v>639</v>
      </c>
      <c r="D32" s="1077"/>
      <c r="E32" s="1077"/>
      <c r="F32" s="1077"/>
      <c r="G32" s="1077"/>
      <c r="H32" s="1077"/>
      <c r="I32" s="1105" t="s">
        <v>573</v>
      </c>
      <c r="J32" s="1156">
        <f>'прейск-т'!J273</f>
        <v>60200</v>
      </c>
      <c r="K32" s="1319">
        <f>'[1]Лист1'!$G$111</f>
        <v>6.680000000000001</v>
      </c>
      <c r="L32" s="1109">
        <f t="shared" si="0"/>
        <v>60206.68</v>
      </c>
      <c r="M32" s="1720">
        <f t="shared" si="1"/>
        <v>6.02</v>
      </c>
      <c r="N32" s="2121">
        <f>K32</f>
        <v>6.680000000000001</v>
      </c>
      <c r="O32" s="1721">
        <f t="shared" si="2"/>
        <v>12.7</v>
      </c>
    </row>
    <row r="33" spans="1:15" ht="12.75">
      <c r="A33" s="1107">
        <v>9</v>
      </c>
      <c r="B33" s="1076"/>
      <c r="C33" s="1108" t="s">
        <v>640</v>
      </c>
      <c r="D33" s="1077"/>
      <c r="E33" s="1077"/>
      <c r="F33" s="1077"/>
      <c r="G33" s="1077" t="s">
        <v>626</v>
      </c>
      <c r="H33" s="1077"/>
      <c r="I33" s="1105" t="s">
        <v>573</v>
      </c>
      <c r="J33" s="1156">
        <f>'прейск-т'!J274</f>
        <v>30100</v>
      </c>
      <c r="K33" s="1319">
        <f>'[1]Лист1'!$G$132</f>
        <v>46900</v>
      </c>
      <c r="L33" s="1109">
        <f t="shared" si="0"/>
        <v>77000</v>
      </c>
      <c r="M33" s="1720">
        <f t="shared" si="1"/>
        <v>3.01</v>
      </c>
      <c r="N33" s="2121">
        <f>K33/10000</f>
        <v>4.69</v>
      </c>
      <c r="O33" s="1721">
        <f t="shared" si="2"/>
        <v>7.7</v>
      </c>
    </row>
    <row r="34" spans="1:15" ht="12.75">
      <c r="A34" s="1107"/>
      <c r="B34" s="1076"/>
      <c r="C34" s="1108"/>
      <c r="D34" s="1077"/>
      <c r="E34" s="1077"/>
      <c r="F34" s="1077"/>
      <c r="G34" s="1077" t="s">
        <v>627</v>
      </c>
      <c r="H34" s="1077"/>
      <c r="I34" s="1105" t="s">
        <v>573</v>
      </c>
      <c r="J34" s="1156">
        <f>'прейск-т'!J275</f>
        <v>45100</v>
      </c>
      <c r="K34" s="1319">
        <f>'[1]Лист1'!$G$142</f>
        <v>4.69</v>
      </c>
      <c r="L34" s="1109">
        <f t="shared" si="0"/>
        <v>45104.69</v>
      </c>
      <c r="M34" s="1720">
        <f t="shared" si="1"/>
        <v>4.51</v>
      </c>
      <c r="N34" s="2121">
        <f aca="true" t="shared" si="3" ref="N34:N50">K34</f>
        <v>4.69</v>
      </c>
      <c r="O34" s="1721">
        <f t="shared" si="2"/>
        <v>9.2</v>
      </c>
    </row>
    <row r="35" spans="1:15" ht="12.75">
      <c r="A35" s="1107">
        <v>10</v>
      </c>
      <c r="B35" s="1076"/>
      <c r="C35" s="1108" t="s">
        <v>641</v>
      </c>
      <c r="D35" s="1077"/>
      <c r="E35" s="1077"/>
      <c r="F35" s="1077"/>
      <c r="G35" s="1077" t="s">
        <v>626</v>
      </c>
      <c r="H35" s="1077"/>
      <c r="I35" s="1105" t="s">
        <v>573</v>
      </c>
      <c r="J35" s="1156">
        <f>'прейск-т'!J276</f>
        <v>30100</v>
      </c>
      <c r="K35" s="1319">
        <f>'[1]Лист1'!$G$153</f>
        <v>4.69</v>
      </c>
      <c r="L35" s="1109">
        <f>SUM(J35:K35)</f>
        <v>30104.69</v>
      </c>
      <c r="M35" s="1720">
        <f t="shared" si="1"/>
        <v>3.01</v>
      </c>
      <c r="N35" s="2121">
        <f t="shared" si="3"/>
        <v>4.69</v>
      </c>
      <c r="O35" s="1721">
        <f t="shared" si="2"/>
        <v>7.7</v>
      </c>
    </row>
    <row r="36" spans="1:15" ht="12.75">
      <c r="A36" s="1107"/>
      <c r="B36" s="1076"/>
      <c r="C36" s="1108"/>
      <c r="D36" s="1077"/>
      <c r="E36" s="1077"/>
      <c r="F36" s="1077"/>
      <c r="G36" s="1077" t="s">
        <v>627</v>
      </c>
      <c r="H36" s="1077"/>
      <c r="I36" s="1105" t="s">
        <v>573</v>
      </c>
      <c r="J36" s="1156">
        <f>'прейск-т'!J277</f>
        <v>45100</v>
      </c>
      <c r="K36" s="1319">
        <f>'[1]Лист1'!$G$163</f>
        <v>4.69</v>
      </c>
      <c r="L36" s="1109">
        <f>SUM(J36:K36)</f>
        <v>45104.69</v>
      </c>
      <c r="M36" s="1720">
        <f t="shared" si="1"/>
        <v>4.51</v>
      </c>
      <c r="N36" s="2121">
        <f t="shared" si="3"/>
        <v>4.69</v>
      </c>
      <c r="O36" s="1721">
        <f t="shared" si="2"/>
        <v>9.2</v>
      </c>
    </row>
    <row r="37" spans="1:15" ht="12.75">
      <c r="A37" s="1107">
        <v>11</v>
      </c>
      <c r="B37" s="1076"/>
      <c r="C37" s="1108" t="s">
        <v>642</v>
      </c>
      <c r="D37" s="1077"/>
      <c r="E37" s="1077"/>
      <c r="F37" s="1077"/>
      <c r="G37" s="1077" t="s">
        <v>626</v>
      </c>
      <c r="H37" s="1077"/>
      <c r="I37" s="1105" t="s">
        <v>573</v>
      </c>
      <c r="J37" s="1156">
        <f>'прейск-т'!J278</f>
        <v>30100</v>
      </c>
      <c r="K37" s="1319">
        <f>'[1]Лист1'!$G$174</f>
        <v>4.69</v>
      </c>
      <c r="L37" s="1109">
        <f t="shared" si="0"/>
        <v>30104.69</v>
      </c>
      <c r="M37" s="1720">
        <f t="shared" si="1"/>
        <v>3.01</v>
      </c>
      <c r="N37" s="2121">
        <f t="shared" si="3"/>
        <v>4.69</v>
      </c>
      <c r="O37" s="1721">
        <f t="shared" si="2"/>
        <v>7.7</v>
      </c>
    </row>
    <row r="38" spans="1:15" ht="12.75">
      <c r="A38" s="1107"/>
      <c r="B38" s="1076"/>
      <c r="C38" s="1108"/>
      <c r="D38" s="1077"/>
      <c r="E38" s="1077"/>
      <c r="F38" s="1077"/>
      <c r="G38" s="1077" t="s">
        <v>627</v>
      </c>
      <c r="H38" s="1077"/>
      <c r="I38" s="1105" t="s">
        <v>573</v>
      </c>
      <c r="J38" s="1156">
        <f>'прейск-т'!J279</f>
        <v>45100</v>
      </c>
      <c r="K38" s="1319">
        <f>'[1]Лист1'!$G$179</f>
        <v>4.69</v>
      </c>
      <c r="L38" s="1109">
        <f t="shared" si="0"/>
        <v>45104.69</v>
      </c>
      <c r="M38" s="1720">
        <f t="shared" si="1"/>
        <v>4.51</v>
      </c>
      <c r="N38" s="2121">
        <f t="shared" si="3"/>
        <v>4.69</v>
      </c>
      <c r="O38" s="1721">
        <f t="shared" si="2"/>
        <v>9.2</v>
      </c>
    </row>
    <row r="39" spans="1:15" ht="12.75">
      <c r="A39" s="1107">
        <v>12</v>
      </c>
      <c r="B39" s="1076"/>
      <c r="C39" s="1108" t="s">
        <v>643</v>
      </c>
      <c r="D39" s="1077"/>
      <c r="E39" s="1077"/>
      <c r="F39" s="1077"/>
      <c r="G39" s="1077"/>
      <c r="H39" s="1077"/>
      <c r="I39" s="1105" t="s">
        <v>573</v>
      </c>
      <c r="J39" s="1156">
        <f>'прейск-т'!J280</f>
        <v>30100</v>
      </c>
      <c r="K39" s="1319">
        <f>'[1]Лист1'!$G$184</f>
        <v>4.69</v>
      </c>
      <c r="L39" s="1109">
        <f t="shared" si="0"/>
        <v>30104.69</v>
      </c>
      <c r="M39" s="1720">
        <f t="shared" si="1"/>
        <v>3.01</v>
      </c>
      <c r="N39" s="2121">
        <f t="shared" si="3"/>
        <v>4.69</v>
      </c>
      <c r="O39" s="1721">
        <f t="shared" si="2"/>
        <v>7.7</v>
      </c>
    </row>
    <row r="40" spans="1:15" ht="12.75">
      <c r="A40" s="1107">
        <v>13</v>
      </c>
      <c r="B40" s="1076"/>
      <c r="C40" s="1108" t="s">
        <v>644</v>
      </c>
      <c r="D40" s="1077"/>
      <c r="E40" s="1077"/>
      <c r="F40" s="1077"/>
      <c r="G40" s="1077"/>
      <c r="H40" s="1077"/>
      <c r="I40" s="1105" t="s">
        <v>573</v>
      </c>
      <c r="J40" s="1156">
        <f>'прейск-т'!J281</f>
        <v>45100</v>
      </c>
      <c r="K40" s="1319">
        <f>'[1]Лист1'!$G$189</f>
        <v>4.69</v>
      </c>
      <c r="L40" s="1109">
        <f t="shared" si="0"/>
        <v>45104.69</v>
      </c>
      <c r="M40" s="1720">
        <f t="shared" si="1"/>
        <v>4.51</v>
      </c>
      <c r="N40" s="2121">
        <f t="shared" si="3"/>
        <v>4.69</v>
      </c>
      <c r="O40" s="1721">
        <f t="shared" si="2"/>
        <v>9.2</v>
      </c>
    </row>
    <row r="41" spans="1:15" ht="12.75">
      <c r="A41" s="1107">
        <v>14</v>
      </c>
      <c r="B41" s="1076"/>
      <c r="C41" s="1108" t="s">
        <v>645</v>
      </c>
      <c r="D41" s="1077"/>
      <c r="E41" s="1077"/>
      <c r="F41" s="1077"/>
      <c r="G41" s="1077"/>
      <c r="H41" s="1077"/>
      <c r="I41" s="1105" t="s">
        <v>573</v>
      </c>
      <c r="J41" s="1156">
        <f>'прейск-т'!J282</f>
        <v>45100</v>
      </c>
      <c r="K41" s="1319">
        <f>'[1]Лист1'!$G$194</f>
        <v>4.69</v>
      </c>
      <c r="L41" s="1109">
        <f t="shared" si="0"/>
        <v>45104.69</v>
      </c>
      <c r="M41" s="1720">
        <f t="shared" si="1"/>
        <v>4.51</v>
      </c>
      <c r="N41" s="2121">
        <f t="shared" si="3"/>
        <v>4.69</v>
      </c>
      <c r="O41" s="1721">
        <f t="shared" si="2"/>
        <v>9.2</v>
      </c>
    </row>
    <row r="42" spans="1:15" ht="12.75">
      <c r="A42" s="1107">
        <v>15</v>
      </c>
      <c r="B42" s="1076"/>
      <c r="C42" s="1108" t="s">
        <v>646</v>
      </c>
      <c r="D42" s="1077"/>
      <c r="E42" s="1077"/>
      <c r="F42" s="1077"/>
      <c r="G42" s="1077"/>
      <c r="H42" s="1077"/>
      <c r="I42" s="1105" t="s">
        <v>573</v>
      </c>
      <c r="J42" s="1156">
        <f>'прейск-т'!J283</f>
        <v>30100</v>
      </c>
      <c r="K42" s="1319">
        <f>'[1]Лист1'!$G$199</f>
        <v>4.69</v>
      </c>
      <c r="L42" s="1109">
        <f t="shared" si="0"/>
        <v>30104.69</v>
      </c>
      <c r="M42" s="1720">
        <f t="shared" si="1"/>
        <v>3.01</v>
      </c>
      <c r="N42" s="2121">
        <f t="shared" si="3"/>
        <v>4.69</v>
      </c>
      <c r="O42" s="1721">
        <f t="shared" si="2"/>
        <v>7.7</v>
      </c>
    </row>
    <row r="43" spans="1:15" ht="12.75">
      <c r="A43" s="1107">
        <v>16</v>
      </c>
      <c r="B43" s="1076"/>
      <c r="C43" s="1108" t="s">
        <v>647</v>
      </c>
      <c r="D43" s="1077"/>
      <c r="E43" s="1077"/>
      <c r="F43" s="1077"/>
      <c r="G43" s="1077"/>
      <c r="H43" s="1077"/>
      <c r="I43" s="1105" t="s">
        <v>573</v>
      </c>
      <c r="J43" s="1156">
        <f>'прейск-т'!J284</f>
        <v>45100</v>
      </c>
      <c r="K43" s="1319">
        <f>'[1]Лист1'!$G$204</f>
        <v>4.69</v>
      </c>
      <c r="L43" s="1109">
        <f t="shared" si="0"/>
        <v>45104.69</v>
      </c>
      <c r="M43" s="1720">
        <f t="shared" si="1"/>
        <v>4.51</v>
      </c>
      <c r="N43" s="2121">
        <f t="shared" si="3"/>
        <v>4.69</v>
      </c>
      <c r="O43" s="1721">
        <f t="shared" si="2"/>
        <v>9.2</v>
      </c>
    </row>
    <row r="44" spans="1:15" ht="12.75">
      <c r="A44" s="1107">
        <v>17</v>
      </c>
      <c r="B44" s="1076"/>
      <c r="C44" s="1108" t="s">
        <v>648</v>
      </c>
      <c r="D44" s="1077"/>
      <c r="E44" s="1077"/>
      <c r="F44" s="1077"/>
      <c r="G44" s="1077"/>
      <c r="H44" s="1077"/>
      <c r="I44" s="1105" t="s">
        <v>573</v>
      </c>
      <c r="J44" s="1156">
        <f>'прейск-т'!J285</f>
        <v>30100</v>
      </c>
      <c r="K44" s="1319">
        <f>'[1]Лист1'!$G$209</f>
        <v>4.69</v>
      </c>
      <c r="L44" s="1109">
        <f t="shared" si="0"/>
        <v>30104.69</v>
      </c>
      <c r="M44" s="1720">
        <f t="shared" si="1"/>
        <v>3.01</v>
      </c>
      <c r="N44" s="2121">
        <f t="shared" si="3"/>
        <v>4.69</v>
      </c>
      <c r="O44" s="1721">
        <f t="shared" si="2"/>
        <v>7.7</v>
      </c>
    </row>
    <row r="45" spans="1:15" ht="12.75">
      <c r="A45" s="1107">
        <v>18</v>
      </c>
      <c r="B45" s="1076"/>
      <c r="C45" s="1108" t="s">
        <v>649</v>
      </c>
      <c r="D45" s="1077"/>
      <c r="E45" s="1077"/>
      <c r="F45" s="1077"/>
      <c r="G45" s="1077"/>
      <c r="H45" s="1077"/>
      <c r="I45" s="1105" t="s">
        <v>573</v>
      </c>
      <c r="J45" s="1156">
        <f>'прейск-т'!J286</f>
        <v>45100</v>
      </c>
      <c r="K45" s="1319">
        <f>'[1]Лист1'!$G$214</f>
        <v>4.69</v>
      </c>
      <c r="L45" s="1109">
        <f t="shared" si="0"/>
        <v>45104.69</v>
      </c>
      <c r="M45" s="1720">
        <f t="shared" si="1"/>
        <v>4.51</v>
      </c>
      <c r="N45" s="2121">
        <f t="shared" si="3"/>
        <v>4.69</v>
      </c>
      <c r="O45" s="1721">
        <f t="shared" si="2"/>
        <v>9.2</v>
      </c>
    </row>
    <row r="46" spans="1:15" ht="12.75">
      <c r="A46" s="1107">
        <v>19</v>
      </c>
      <c r="B46" s="1076"/>
      <c r="C46" s="1108" t="s">
        <v>650</v>
      </c>
      <c r="D46" s="1077"/>
      <c r="E46" s="1077"/>
      <c r="F46" s="1077"/>
      <c r="G46" s="1077"/>
      <c r="H46" s="1077"/>
      <c r="I46" s="1105" t="s">
        <v>573</v>
      </c>
      <c r="J46" s="1156">
        <f>'прейск-т'!J287</f>
        <v>45100</v>
      </c>
      <c r="K46" s="1319">
        <f>'[1]Лист1'!$G$219</f>
        <v>4.69</v>
      </c>
      <c r="L46" s="1109">
        <f t="shared" si="0"/>
        <v>45104.69</v>
      </c>
      <c r="M46" s="1720">
        <f t="shared" si="1"/>
        <v>4.51</v>
      </c>
      <c r="N46" s="2121">
        <f t="shared" si="3"/>
        <v>4.69</v>
      </c>
      <c r="O46" s="1721">
        <f t="shared" si="2"/>
        <v>9.2</v>
      </c>
    </row>
    <row r="47" spans="1:15" ht="12.75">
      <c r="A47" s="1107">
        <v>20</v>
      </c>
      <c r="B47" s="1076"/>
      <c r="C47" s="1108" t="s">
        <v>651</v>
      </c>
      <c r="D47" s="1077"/>
      <c r="E47" s="1077"/>
      <c r="F47" s="1077"/>
      <c r="G47" s="1077"/>
      <c r="H47" s="1077"/>
      <c r="I47" s="1105" t="s">
        <v>573</v>
      </c>
      <c r="J47" s="1156">
        <f>'прейск-т'!J288</f>
        <v>75200</v>
      </c>
      <c r="K47" s="1319">
        <f>'[1]Лист1'!$G$229</f>
        <v>4.69</v>
      </c>
      <c r="L47" s="1109">
        <f t="shared" si="0"/>
        <v>75204.69</v>
      </c>
      <c r="M47" s="1720">
        <f t="shared" si="1"/>
        <v>7.52</v>
      </c>
      <c r="N47" s="2121">
        <f t="shared" si="3"/>
        <v>4.69</v>
      </c>
      <c r="O47" s="1721">
        <f t="shared" si="2"/>
        <v>12.21</v>
      </c>
    </row>
    <row r="48" spans="1:15" ht="12.75">
      <c r="A48" s="1107">
        <v>21</v>
      </c>
      <c r="B48" s="1076"/>
      <c r="C48" s="1108" t="s">
        <v>652</v>
      </c>
      <c r="D48" s="1077"/>
      <c r="E48" s="1077"/>
      <c r="F48" s="1077"/>
      <c r="G48" s="1077"/>
      <c r="H48" s="1077"/>
      <c r="I48" s="1105" t="s">
        <v>573</v>
      </c>
      <c r="J48" s="1156">
        <f>'прейск-т'!J289</f>
        <v>60200</v>
      </c>
      <c r="K48" s="1319">
        <f>'[1]Лист1'!$G$234</f>
        <v>4.69</v>
      </c>
      <c r="L48" s="1109">
        <f t="shared" si="0"/>
        <v>60204.69</v>
      </c>
      <c r="M48" s="1720">
        <f t="shared" si="1"/>
        <v>6.02</v>
      </c>
      <c r="N48" s="2121">
        <f t="shared" si="3"/>
        <v>4.69</v>
      </c>
      <c r="O48" s="1721">
        <f t="shared" si="2"/>
        <v>10.71</v>
      </c>
    </row>
    <row r="49" spans="1:15" ht="12.75">
      <c r="A49" s="1107">
        <v>22</v>
      </c>
      <c r="B49" s="1076"/>
      <c r="C49" s="1108" t="s">
        <v>653</v>
      </c>
      <c r="D49" s="1077"/>
      <c r="E49" s="1077"/>
      <c r="F49" s="1077"/>
      <c r="G49" s="1077"/>
      <c r="H49" s="1077"/>
      <c r="I49" s="1105" t="s">
        <v>573</v>
      </c>
      <c r="J49" s="1156">
        <f>'прейск-т'!J290</f>
        <v>30100</v>
      </c>
      <c r="K49" s="1319">
        <f>'[1]Лист1'!$G$244</f>
        <v>4.69</v>
      </c>
      <c r="L49" s="1109">
        <f t="shared" si="0"/>
        <v>30104.69</v>
      </c>
      <c r="M49" s="1720">
        <f t="shared" si="1"/>
        <v>3.01</v>
      </c>
      <c r="N49" s="2121">
        <f t="shared" si="3"/>
        <v>4.69</v>
      </c>
      <c r="O49" s="1721">
        <f t="shared" si="2"/>
        <v>7.7</v>
      </c>
    </row>
    <row r="50" spans="1:15" ht="12.75">
      <c r="A50" s="1110">
        <v>23</v>
      </c>
      <c r="B50" s="1111"/>
      <c r="C50" s="1112" t="s">
        <v>655</v>
      </c>
      <c r="D50" s="1113"/>
      <c r="E50" s="1113"/>
      <c r="F50" s="1113"/>
      <c r="G50" s="1113"/>
      <c r="H50" s="1113"/>
      <c r="I50" s="1114" t="s">
        <v>573</v>
      </c>
      <c r="J50" s="1186">
        <f>'прейск-т'!J292</f>
        <v>15100</v>
      </c>
      <c r="K50" s="1321">
        <f>'[1]Лист1'!$G$272</f>
        <v>4.53</v>
      </c>
      <c r="L50" s="1115">
        <f t="shared" si="0"/>
        <v>15104.53</v>
      </c>
      <c r="M50" s="1720">
        <f t="shared" si="1"/>
        <v>1.51</v>
      </c>
      <c r="N50" s="2121">
        <f t="shared" si="3"/>
        <v>4.53</v>
      </c>
      <c r="O50" s="1721">
        <f t="shared" si="2"/>
        <v>6.04</v>
      </c>
    </row>
    <row r="51" spans="1:15" ht="12.75">
      <c r="A51" s="1107">
        <v>24</v>
      </c>
      <c r="B51" s="1076"/>
      <c r="C51" s="1108" t="s">
        <v>656</v>
      </c>
      <c r="D51" s="1077"/>
      <c r="E51" s="1077"/>
      <c r="F51" s="1077"/>
      <c r="G51" s="1077"/>
      <c r="H51" s="1077"/>
      <c r="I51" s="1105" t="s">
        <v>573</v>
      </c>
      <c r="J51" s="1156">
        <f>'прейск-т'!J293</f>
        <v>34800</v>
      </c>
      <c r="K51" s="1322"/>
      <c r="L51" s="1109">
        <f t="shared" si="0"/>
        <v>34800</v>
      </c>
      <c r="M51" s="1720">
        <f t="shared" si="1"/>
        <v>3.48</v>
      </c>
      <c r="N51" s="1719">
        <f>K51/10000</f>
        <v>0</v>
      </c>
      <c r="O51" s="1721">
        <f t="shared" si="2"/>
        <v>3.48</v>
      </c>
    </row>
    <row r="52" spans="1:15" ht="12.75">
      <c r="A52" s="1116"/>
      <c r="B52" s="1117"/>
      <c r="C52" s="1118" t="s">
        <v>657</v>
      </c>
      <c r="D52" s="1119"/>
      <c r="E52" s="1119"/>
      <c r="F52" s="1119"/>
      <c r="G52" s="1119"/>
      <c r="H52" s="1119"/>
      <c r="I52" s="1120"/>
      <c r="J52" s="1084"/>
      <c r="K52" s="1323"/>
      <c r="L52" s="1121"/>
      <c r="M52" s="1718"/>
      <c r="N52" s="1718"/>
      <c r="O52" s="1718"/>
    </row>
    <row r="53" spans="1:13" ht="12.75">
      <c r="A53" s="1122"/>
      <c r="B53" s="1123"/>
      <c r="C53" s="1108"/>
      <c r="D53" s="1077"/>
      <c r="E53" s="1077"/>
      <c r="F53" s="1077"/>
      <c r="G53" s="1077"/>
      <c r="H53" s="1077"/>
      <c r="I53" s="1077"/>
      <c r="J53" s="1085"/>
      <c r="K53" s="1086"/>
      <c r="L53" s="1124"/>
      <c r="M53" s="65"/>
    </row>
    <row r="54" spans="1:13" ht="12.75">
      <c r="A54" s="539"/>
      <c r="B54" s="539" t="s">
        <v>392</v>
      </c>
      <c r="C54" s="2"/>
      <c r="D54" s="115"/>
      <c r="E54" s="115"/>
      <c r="F54" s="114"/>
      <c r="G54" s="115"/>
      <c r="H54" s="115"/>
      <c r="I54" s="1904" t="str">
        <f>'бак.лаб.'!K128</f>
        <v>М.В. Ровгач</v>
      </c>
      <c r="J54" s="1125"/>
      <c r="K54" s="1126" t="str">
        <f>'лаб-рия'!N140</f>
        <v>М.В. Ровгач</v>
      </c>
      <c r="L54" s="1127"/>
      <c r="M54" s="65"/>
    </row>
    <row r="55" spans="1:12" ht="22.5" customHeight="1">
      <c r="A55" s="110"/>
      <c r="B55" s="110"/>
      <c r="C55" s="110"/>
      <c r="D55" s="1128"/>
      <c r="E55" s="1128"/>
      <c r="F55" s="1127"/>
      <c r="G55" s="1128"/>
      <c r="H55" s="1128"/>
      <c r="I55" s="1128"/>
      <c r="J55" s="1125"/>
      <c r="K55" s="1129"/>
      <c r="L55" s="1127"/>
    </row>
    <row r="56" spans="1:13" ht="12.75">
      <c r="A56" s="2453" t="s">
        <v>152</v>
      </c>
      <c r="B56" s="2453"/>
      <c r="C56" s="2453"/>
      <c r="D56" s="1128"/>
      <c r="E56" s="1128"/>
      <c r="F56" s="1127"/>
      <c r="G56" s="1128"/>
      <c r="H56" s="1128"/>
      <c r="I56" s="2454" t="str">
        <f>'бак.лаб.'!K130</f>
        <v>О.Н.Гаркавая</v>
      </c>
      <c r="J56" s="2454"/>
      <c r="K56" s="2454"/>
      <c r="L56" s="2454"/>
      <c r="M56" s="2454"/>
    </row>
    <row r="57" spans="1:12" ht="12.75">
      <c r="A57" s="110"/>
      <c r="B57" s="1130"/>
      <c r="C57" s="115"/>
      <c r="D57" s="115"/>
      <c r="E57" s="115"/>
      <c r="F57" s="114"/>
      <c r="G57" s="115"/>
      <c r="H57" s="115"/>
      <c r="I57" s="115"/>
      <c r="J57" s="1125"/>
      <c r="K57" s="1129"/>
      <c r="L57" s="1127"/>
    </row>
    <row r="58" spans="1:12" ht="12.75">
      <c r="A58" s="110"/>
      <c r="B58" s="1130"/>
      <c r="C58" s="115" t="s">
        <v>829</v>
      </c>
      <c r="D58" s="115"/>
      <c r="E58" s="115"/>
      <c r="F58" s="114"/>
      <c r="G58" s="115"/>
      <c r="H58" s="115"/>
      <c r="I58" s="1904" t="str">
        <f>'бак.лаб.'!K132</f>
        <v>В.К.Лысая</v>
      </c>
      <c r="J58" s="1125"/>
      <c r="K58" s="1129" t="s">
        <v>830</v>
      </c>
      <c r="L58" s="1127"/>
    </row>
    <row r="59" spans="1:12" ht="12.75">
      <c r="A59" s="1128"/>
      <c r="B59" s="1128"/>
      <c r="C59" s="1128"/>
      <c r="D59" s="110"/>
      <c r="E59" s="110"/>
      <c r="F59" s="36"/>
      <c r="G59" s="36"/>
      <c r="H59" s="36"/>
      <c r="I59" s="110"/>
      <c r="J59" s="620"/>
      <c r="K59" s="1129"/>
      <c r="L59" s="1131"/>
    </row>
    <row r="60" spans="1:12" ht="24" customHeight="1">
      <c r="A60" s="2451" t="s">
        <v>831</v>
      </c>
      <c r="B60" s="2451"/>
      <c r="C60" s="2451"/>
      <c r="D60" s="539"/>
      <c r="E60" s="539"/>
      <c r="F60" s="2"/>
      <c r="G60" s="2"/>
      <c r="H60" s="2"/>
      <c r="I60" s="539" t="str">
        <f>'бак.лаб.'!K134</f>
        <v>Е.О.Андреева</v>
      </c>
      <c r="J60" s="620"/>
      <c r="K60" s="1129" t="s">
        <v>832</v>
      </c>
      <c r="L60" s="1131"/>
    </row>
  </sheetData>
  <sheetProtection/>
  <mergeCells count="11">
    <mergeCell ref="I56:M56"/>
    <mergeCell ref="N1:O1"/>
    <mergeCell ref="M14:O15"/>
    <mergeCell ref="G8:I9"/>
    <mergeCell ref="J8:L9"/>
    <mergeCell ref="J14:L15"/>
    <mergeCell ref="A60:C60"/>
    <mergeCell ref="A5:L5"/>
    <mergeCell ref="C20:D20"/>
    <mergeCell ref="A56:C56"/>
    <mergeCell ref="A6:O6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9"/>
  <sheetViews>
    <sheetView view="pageBreakPreview" zoomScaleSheetLayoutView="100" zoomScalePageLayoutView="0" workbookViewId="0" topLeftCell="A40">
      <selection activeCell="A136" sqref="A136:J168"/>
    </sheetView>
  </sheetViews>
  <sheetFormatPr defaultColWidth="9.140625" defaultRowHeight="12.75"/>
  <cols>
    <col min="1" max="1" width="5.140625" style="553" customWidth="1"/>
    <col min="2" max="3" width="9.140625" style="553" customWidth="1"/>
    <col min="4" max="4" width="3.421875" style="553" customWidth="1"/>
    <col min="5" max="5" width="10.28125" style="553" customWidth="1"/>
    <col min="6" max="6" width="11.57421875" style="553" customWidth="1"/>
    <col min="7" max="7" width="6.7109375" style="553" customWidth="1"/>
    <col min="8" max="9" width="9.140625" style="553" customWidth="1"/>
    <col min="10" max="10" width="12.57421875" style="553" customWidth="1"/>
    <col min="11" max="16384" width="9.140625" style="553" customWidth="1"/>
  </cols>
  <sheetData>
    <row r="1" spans="1:10" ht="15.75">
      <c r="A1" s="549"/>
      <c r="B1" s="550"/>
      <c r="C1" s="550"/>
      <c r="D1" s="550"/>
      <c r="E1" s="550"/>
      <c r="F1" s="550"/>
      <c r="G1" s="551"/>
      <c r="H1" s="551" t="s">
        <v>178</v>
      </c>
      <c r="I1" s="552"/>
      <c r="J1" s="552"/>
    </row>
    <row r="2" spans="1:10" ht="15.75">
      <c r="A2" s="549"/>
      <c r="B2" s="550"/>
      <c r="C2" s="550"/>
      <c r="D2" s="550"/>
      <c r="E2" s="550"/>
      <c r="F2" s="550"/>
      <c r="G2" s="551"/>
      <c r="H2" s="551"/>
      <c r="I2" s="552"/>
      <c r="J2" s="554" t="s">
        <v>437</v>
      </c>
    </row>
    <row r="3" spans="1:10" ht="15.75">
      <c r="A3" s="549"/>
      <c r="B3" s="550"/>
      <c r="C3" s="550"/>
      <c r="D3" s="550"/>
      <c r="E3" s="550"/>
      <c r="F3" s="550"/>
      <c r="G3" s="551"/>
      <c r="H3" s="555"/>
      <c r="I3" s="552"/>
      <c r="J3" s="554" t="s">
        <v>182</v>
      </c>
    </row>
    <row r="4" spans="1:10" ht="15.75">
      <c r="A4" s="549"/>
      <c r="B4" s="550"/>
      <c r="C4" s="550"/>
      <c r="D4" s="550"/>
      <c r="E4" s="550"/>
      <c r="F4" s="550"/>
      <c r="G4" s="551"/>
      <c r="H4" s="556">
        <v>11</v>
      </c>
      <c r="I4" s="557" t="s">
        <v>326</v>
      </c>
      <c r="J4" s="557" t="s">
        <v>234</v>
      </c>
    </row>
    <row r="5" spans="1:10" ht="15.75">
      <c r="A5" s="549"/>
      <c r="B5" s="550"/>
      <c r="C5" s="550"/>
      <c r="D5" s="550"/>
      <c r="E5" s="550"/>
      <c r="F5" s="550"/>
      <c r="G5" s="551"/>
      <c r="H5" s="555"/>
      <c r="I5" s="554"/>
      <c r="J5" s="554"/>
    </row>
    <row r="6" spans="1:10" ht="12.75">
      <c r="A6" s="549"/>
      <c r="B6" s="550"/>
      <c r="C6" s="550"/>
      <c r="D6" s="550"/>
      <c r="E6" s="550"/>
      <c r="F6" s="550"/>
      <c r="G6" s="558"/>
      <c r="H6" s="549"/>
      <c r="I6" s="550"/>
      <c r="J6" s="550"/>
    </row>
    <row r="7" spans="1:10" ht="15.75">
      <c r="A7" s="549"/>
      <c r="B7" s="550"/>
      <c r="C7" s="550"/>
      <c r="D7" s="550"/>
      <c r="E7" s="550"/>
      <c r="F7" s="550"/>
      <c r="G7" s="554"/>
      <c r="H7" s="555"/>
      <c r="I7" s="555"/>
      <c r="J7" s="555"/>
    </row>
    <row r="8" spans="1:10" ht="18.75">
      <c r="A8" s="2458" t="s">
        <v>439</v>
      </c>
      <c r="B8" s="2458"/>
      <c r="C8" s="2458"/>
      <c r="D8" s="2458"/>
      <c r="E8" s="2458"/>
      <c r="F8" s="2458"/>
      <c r="G8" s="2458"/>
      <c r="H8" s="2458"/>
      <c r="I8" s="2458"/>
      <c r="J8" s="2458"/>
    </row>
    <row r="9" spans="1:10" ht="18.75">
      <c r="A9" s="2458" t="s">
        <v>440</v>
      </c>
      <c r="B9" s="2458"/>
      <c r="C9" s="2458"/>
      <c r="D9" s="2458"/>
      <c r="E9" s="2458"/>
      <c r="F9" s="2458"/>
      <c r="G9" s="2458"/>
      <c r="H9" s="2458"/>
      <c r="I9" s="2458"/>
      <c r="J9" s="2458"/>
    </row>
    <row r="10" spans="1:10" ht="19.5">
      <c r="A10" s="559"/>
      <c r="B10" s="559"/>
      <c r="C10" s="559"/>
      <c r="D10" s="559"/>
      <c r="E10" s="559"/>
      <c r="F10" s="559"/>
      <c r="G10" s="559"/>
      <c r="H10" s="559"/>
      <c r="I10" s="559"/>
      <c r="J10" s="559"/>
    </row>
    <row r="11" spans="1:10" ht="12.75">
      <c r="A11" s="549"/>
      <c r="B11" s="550"/>
      <c r="C11" s="550"/>
      <c r="D11" s="550"/>
      <c r="E11" s="550"/>
      <c r="F11" s="550"/>
      <c r="G11" s="558"/>
      <c r="H11" s="549"/>
      <c r="I11" s="550"/>
      <c r="J11" s="550"/>
    </row>
    <row r="12" spans="1:10" ht="15.75">
      <c r="A12" s="549"/>
      <c r="B12" s="608" t="s">
        <v>327</v>
      </c>
      <c r="C12" s="560"/>
      <c r="D12" s="561"/>
      <c r="E12" s="550"/>
      <c r="F12" s="550"/>
      <c r="G12" s="558"/>
      <c r="H12" s="549"/>
      <c r="I12" s="550"/>
      <c r="J12" s="550"/>
    </row>
    <row r="13" spans="1:10" ht="15">
      <c r="A13" s="562"/>
      <c r="B13" s="563"/>
      <c r="C13" s="564"/>
      <c r="D13" s="564"/>
      <c r="E13" s="564"/>
      <c r="F13" s="565"/>
      <c r="G13" s="566"/>
      <c r="H13" s="567"/>
      <c r="I13" s="567" t="s">
        <v>442</v>
      </c>
      <c r="J13" s="568" t="s">
        <v>443</v>
      </c>
    </row>
    <row r="14" spans="1:10" ht="15">
      <c r="A14" s="569" t="s">
        <v>444</v>
      </c>
      <c r="B14" s="2455" t="s">
        <v>445</v>
      </c>
      <c r="C14" s="2456"/>
      <c r="D14" s="2456"/>
      <c r="E14" s="2456"/>
      <c r="F14" s="2457"/>
      <c r="G14" s="569" t="s">
        <v>446</v>
      </c>
      <c r="H14" s="569" t="s">
        <v>447</v>
      </c>
      <c r="I14" s="569" t="s">
        <v>448</v>
      </c>
      <c r="J14" s="573" t="s">
        <v>449</v>
      </c>
    </row>
    <row r="15" spans="1:10" ht="15">
      <c r="A15" s="569" t="s">
        <v>450</v>
      </c>
      <c r="B15" s="570"/>
      <c r="C15" s="571"/>
      <c r="D15" s="571"/>
      <c r="E15" s="571"/>
      <c r="F15" s="572"/>
      <c r="G15" s="569" t="s">
        <v>451</v>
      </c>
      <c r="H15" s="574"/>
      <c r="I15" s="569" t="s">
        <v>452</v>
      </c>
      <c r="J15" s="573" t="s">
        <v>453</v>
      </c>
    </row>
    <row r="16" spans="1:10" ht="15">
      <c r="A16" s="575"/>
      <c r="B16" s="576"/>
      <c r="C16" s="577"/>
      <c r="D16" s="577"/>
      <c r="E16" s="577"/>
      <c r="F16" s="578"/>
      <c r="G16" s="579"/>
      <c r="H16" s="580" t="s">
        <v>457</v>
      </c>
      <c r="I16" s="580" t="s">
        <v>457</v>
      </c>
      <c r="J16" s="581" t="s">
        <v>457</v>
      </c>
    </row>
    <row r="17" spans="1:10" ht="12.75">
      <c r="A17" s="582"/>
      <c r="B17" s="583"/>
      <c r="C17" s="550"/>
      <c r="D17" s="550"/>
      <c r="E17" s="550"/>
      <c r="F17" s="584"/>
      <c r="G17" s="582"/>
      <c r="H17" s="582"/>
      <c r="I17" s="582"/>
      <c r="J17" s="582"/>
    </row>
    <row r="18" spans="1:10" ht="19.5">
      <c r="A18" s="585"/>
      <c r="B18" s="586" t="s">
        <v>775</v>
      </c>
      <c r="C18" s="587"/>
      <c r="D18" s="552"/>
      <c r="E18" s="552"/>
      <c r="F18" s="584"/>
      <c r="G18" s="582"/>
      <c r="H18" s="582"/>
      <c r="I18" s="582"/>
      <c r="J18" s="582"/>
    </row>
    <row r="19" spans="1:10" ht="13.5">
      <c r="A19" s="588"/>
      <c r="B19" s="589"/>
      <c r="C19" s="590"/>
      <c r="D19" s="550"/>
      <c r="E19" s="550"/>
      <c r="F19" s="584"/>
      <c r="G19" s="582"/>
      <c r="H19" s="582"/>
      <c r="I19" s="582"/>
      <c r="J19" s="582"/>
    </row>
    <row r="20" spans="1:10" s="595" customFormat="1" ht="16.5">
      <c r="A20" s="591"/>
      <c r="B20" s="609" t="s">
        <v>776</v>
      </c>
      <c r="C20" s="552"/>
      <c r="D20" s="552"/>
      <c r="E20" s="552"/>
      <c r="F20" s="593"/>
      <c r="G20" s="594"/>
      <c r="H20" s="594"/>
      <c r="I20" s="594"/>
      <c r="J20" s="594"/>
    </row>
    <row r="21" spans="1:10" s="595" customFormat="1" ht="15.75">
      <c r="A21" s="591"/>
      <c r="B21" s="592"/>
      <c r="C21" s="552"/>
      <c r="D21" s="552"/>
      <c r="E21" s="552"/>
      <c r="F21" s="593"/>
      <c r="G21" s="594"/>
      <c r="H21" s="594"/>
      <c r="I21" s="594"/>
      <c r="J21" s="594"/>
    </row>
    <row r="22" spans="1:10" s="595" customFormat="1" ht="15" customHeight="1">
      <c r="A22" s="594"/>
      <c r="B22" s="592"/>
      <c r="C22" s="552"/>
      <c r="D22" s="596" t="s">
        <v>319</v>
      </c>
      <c r="E22" s="552"/>
      <c r="F22" s="610" t="s">
        <v>318</v>
      </c>
      <c r="G22" s="597" t="s">
        <v>460</v>
      </c>
      <c r="H22" s="591">
        <v>15700</v>
      </c>
      <c r="I22" s="598">
        <v>28200</v>
      </c>
      <c r="J22" s="599">
        <f>SUM(H22:I22)</f>
        <v>43900</v>
      </c>
    </row>
    <row r="23" spans="1:10" s="595" customFormat="1" ht="15.75">
      <c r="A23" s="594"/>
      <c r="B23" s="592"/>
      <c r="C23" s="552"/>
      <c r="D23" s="552"/>
      <c r="E23" s="552"/>
      <c r="F23" s="593"/>
      <c r="G23" s="594"/>
      <c r="H23" s="594"/>
      <c r="I23" s="594"/>
      <c r="J23" s="594"/>
    </row>
    <row r="24" spans="1:10" s="595" customFormat="1" ht="15.75">
      <c r="A24" s="600"/>
      <c r="B24" s="601"/>
      <c r="C24" s="602"/>
      <c r="D24" s="602"/>
      <c r="E24" s="602"/>
      <c r="F24" s="603"/>
      <c r="G24" s="600"/>
      <c r="H24" s="600"/>
      <c r="I24" s="600"/>
      <c r="J24" s="600"/>
    </row>
    <row r="25" s="595" customFormat="1" ht="15.75"/>
    <row r="26" s="595" customFormat="1" ht="15.75"/>
    <row r="27" s="595" customFormat="1" ht="15.75"/>
    <row r="28" s="595" customFormat="1" ht="15.75"/>
    <row r="29" spans="1:11" s="595" customFormat="1" ht="15.75">
      <c r="A29" s="551" t="s">
        <v>320</v>
      </c>
      <c r="B29" s="552"/>
      <c r="C29" s="552"/>
      <c r="D29" s="552"/>
      <c r="E29" s="552"/>
      <c r="F29" s="552"/>
      <c r="G29" s="552"/>
      <c r="H29" s="551"/>
      <c r="I29" s="551" t="s">
        <v>252</v>
      </c>
      <c r="J29" s="551"/>
      <c r="K29" s="551"/>
    </row>
    <row r="30" spans="1:12" s="606" customFormat="1" ht="15">
      <c r="A30" s="571"/>
      <c r="B30" s="605"/>
      <c r="C30" s="605"/>
      <c r="D30" s="605"/>
      <c r="E30" s="605"/>
      <c r="F30" s="605"/>
      <c r="G30" s="605"/>
      <c r="H30" s="571"/>
      <c r="I30" s="571"/>
      <c r="J30" s="571"/>
      <c r="K30" s="571"/>
      <c r="L30" s="607"/>
    </row>
    <row r="31" spans="1:11" s="595" customFormat="1" ht="15.75">
      <c r="A31" s="551" t="s">
        <v>152</v>
      </c>
      <c r="B31" s="552"/>
      <c r="C31" s="552"/>
      <c r="D31" s="552"/>
      <c r="E31" s="552"/>
      <c r="F31" s="552"/>
      <c r="G31" s="552"/>
      <c r="H31" s="551"/>
      <c r="I31" s="551" t="s">
        <v>325</v>
      </c>
      <c r="J31" s="551"/>
      <c r="K31" s="551"/>
    </row>
    <row r="32" spans="1:11" s="606" customFormat="1" ht="15">
      <c r="A32" s="571"/>
      <c r="B32" s="605"/>
      <c r="C32" s="605"/>
      <c r="D32" s="605"/>
      <c r="E32" s="605"/>
      <c r="F32" s="605"/>
      <c r="G32" s="605"/>
      <c r="H32" s="571"/>
      <c r="I32" s="571"/>
      <c r="J32" s="571"/>
      <c r="K32" s="571"/>
    </row>
    <row r="33" spans="1:11" s="595" customFormat="1" ht="15.75">
      <c r="A33" s="551" t="s">
        <v>831</v>
      </c>
      <c r="B33" s="552"/>
      <c r="C33" s="552"/>
      <c r="D33" s="552"/>
      <c r="E33" s="552"/>
      <c r="F33" s="552"/>
      <c r="G33" s="552"/>
      <c r="H33" s="551"/>
      <c r="I33" s="551" t="s">
        <v>832</v>
      </c>
      <c r="J33" s="551"/>
      <c r="K33" s="551"/>
    </row>
    <row r="34" spans="1:11" ht="15">
      <c r="A34" s="604"/>
      <c r="B34" s="605"/>
      <c r="C34" s="605"/>
      <c r="D34" s="605"/>
      <c r="E34" s="605"/>
      <c r="F34" s="605"/>
      <c r="G34" s="605"/>
      <c r="H34" s="604"/>
      <c r="I34" s="604"/>
      <c r="J34" s="604"/>
      <c r="K34" s="604"/>
    </row>
    <row r="61" spans="1:10" ht="15.75">
      <c r="A61" s="549"/>
      <c r="B61" s="550"/>
      <c r="C61" s="550"/>
      <c r="D61" s="550"/>
      <c r="E61" s="550"/>
      <c r="F61" s="550"/>
      <c r="G61" s="551"/>
      <c r="H61" s="551" t="s">
        <v>178</v>
      </c>
      <c r="I61" s="552"/>
      <c r="J61" s="552"/>
    </row>
    <row r="62" spans="1:10" ht="15.75">
      <c r="A62" s="549"/>
      <c r="B62" s="550"/>
      <c r="C62" s="550"/>
      <c r="D62" s="550"/>
      <c r="E62" s="550"/>
      <c r="F62" s="550"/>
      <c r="G62" s="551"/>
      <c r="H62" s="551"/>
      <c r="I62" s="552"/>
      <c r="J62" s="554" t="s">
        <v>437</v>
      </c>
    </row>
    <row r="63" spans="1:10" ht="15.75">
      <c r="A63" s="549"/>
      <c r="B63" s="550"/>
      <c r="C63" s="550"/>
      <c r="D63" s="550"/>
      <c r="E63" s="550"/>
      <c r="F63" s="550"/>
      <c r="G63" s="551"/>
      <c r="H63" s="555"/>
      <c r="I63" s="552"/>
      <c r="J63" s="554" t="s">
        <v>345</v>
      </c>
    </row>
    <row r="64" spans="1:10" ht="15.75">
      <c r="A64" s="549"/>
      <c r="B64" s="550"/>
      <c r="C64" s="550"/>
      <c r="D64" s="550"/>
      <c r="E64" s="550"/>
      <c r="F64" s="550"/>
      <c r="G64" s="551"/>
      <c r="H64" s="556">
        <v>19</v>
      </c>
      <c r="I64" s="557" t="s">
        <v>826</v>
      </c>
      <c r="J64" s="557" t="s">
        <v>374</v>
      </c>
    </row>
    <row r="65" spans="1:10" ht="15.75">
      <c r="A65" s="549"/>
      <c r="B65" s="550"/>
      <c r="C65" s="550"/>
      <c r="D65" s="550"/>
      <c r="E65" s="550"/>
      <c r="F65" s="550"/>
      <c r="G65" s="551"/>
      <c r="H65" s="555"/>
      <c r="I65" s="554"/>
      <c r="J65" s="554"/>
    </row>
    <row r="66" spans="1:10" ht="12.75">
      <c r="A66" s="549"/>
      <c r="B66" s="550"/>
      <c r="C66" s="550"/>
      <c r="D66" s="550"/>
      <c r="E66" s="550"/>
      <c r="F66" s="550"/>
      <c r="G66" s="558"/>
      <c r="H66" s="549"/>
      <c r="I66" s="550"/>
      <c r="J66" s="550"/>
    </row>
    <row r="67" spans="1:10" ht="15.75">
      <c r="A67" s="549"/>
      <c r="B67" s="550"/>
      <c r="C67" s="550"/>
      <c r="D67" s="550"/>
      <c r="E67" s="550"/>
      <c r="F67" s="550"/>
      <c r="G67" s="554"/>
      <c r="H67" s="555"/>
      <c r="I67" s="555"/>
      <c r="J67" s="555"/>
    </row>
    <row r="68" spans="1:10" ht="18.75">
      <c r="A68" s="2458" t="s">
        <v>439</v>
      </c>
      <c r="B68" s="2458"/>
      <c r="C68" s="2458"/>
      <c r="D68" s="2458"/>
      <c r="E68" s="2458"/>
      <c r="F68" s="2458"/>
      <c r="G68" s="2458"/>
      <c r="H68" s="2458"/>
      <c r="I68" s="2458"/>
      <c r="J68" s="2458"/>
    </row>
    <row r="69" spans="1:10" ht="18.75">
      <c r="A69" s="2458" t="s">
        <v>440</v>
      </c>
      <c r="B69" s="2458"/>
      <c r="C69" s="2458"/>
      <c r="D69" s="2458"/>
      <c r="E69" s="2458"/>
      <c r="F69" s="2458"/>
      <c r="G69" s="2458"/>
      <c r="H69" s="2458"/>
      <c r="I69" s="2458"/>
      <c r="J69" s="2458"/>
    </row>
    <row r="70" spans="1:10" ht="19.5" customHeight="1">
      <c r="A70" s="559"/>
      <c r="B70" s="559"/>
      <c r="C70" s="559"/>
      <c r="D70" s="559"/>
      <c r="E70" s="559"/>
      <c r="F70" s="559"/>
      <c r="G70" s="559"/>
      <c r="H70" s="559"/>
      <c r="I70" s="559"/>
      <c r="J70" s="559"/>
    </row>
    <row r="71" spans="1:10" ht="12.75" customHeight="1">
      <c r="A71" s="549"/>
      <c r="B71" s="550"/>
      <c r="C71" s="550"/>
      <c r="D71" s="550"/>
      <c r="E71" s="550"/>
      <c r="F71" s="550"/>
      <c r="G71" s="558"/>
      <c r="H71" s="549"/>
      <c r="I71" s="550"/>
      <c r="J71" s="550"/>
    </row>
    <row r="72" spans="1:10" ht="15.75">
      <c r="A72" s="549"/>
      <c r="B72" s="608" t="s">
        <v>147</v>
      </c>
      <c r="C72" s="560"/>
      <c r="D72" s="561"/>
      <c r="E72" s="550"/>
      <c r="F72" s="550"/>
      <c r="G72" s="558"/>
      <c r="H72" s="549"/>
      <c r="I72" s="550"/>
      <c r="J72" s="550"/>
    </row>
    <row r="73" spans="1:10" ht="15" customHeight="1">
      <c r="A73" s="562"/>
      <c r="B73" s="563"/>
      <c r="C73" s="564"/>
      <c r="D73" s="564"/>
      <c r="E73" s="564"/>
      <c r="F73" s="565"/>
      <c r="G73" s="566"/>
      <c r="H73" s="567"/>
      <c r="I73" s="567" t="s">
        <v>442</v>
      </c>
      <c r="J73" s="568" t="s">
        <v>443</v>
      </c>
    </row>
    <row r="74" spans="1:10" ht="15" customHeight="1">
      <c r="A74" s="569" t="s">
        <v>444</v>
      </c>
      <c r="B74" s="2455" t="s">
        <v>445</v>
      </c>
      <c r="C74" s="2456"/>
      <c r="D74" s="2456"/>
      <c r="E74" s="2456"/>
      <c r="F74" s="2457"/>
      <c r="G74" s="569" t="s">
        <v>446</v>
      </c>
      <c r="H74" s="569" t="s">
        <v>447</v>
      </c>
      <c r="I74" s="569" t="s">
        <v>448</v>
      </c>
      <c r="J74" s="573" t="s">
        <v>449</v>
      </c>
    </row>
    <row r="75" spans="1:10" ht="15" customHeight="1">
      <c r="A75" s="569" t="s">
        <v>450</v>
      </c>
      <c r="B75" s="570"/>
      <c r="C75" s="571"/>
      <c r="D75" s="571"/>
      <c r="E75" s="571"/>
      <c r="F75" s="572"/>
      <c r="G75" s="569" t="s">
        <v>451</v>
      </c>
      <c r="H75" s="574"/>
      <c r="I75" s="569" t="s">
        <v>452</v>
      </c>
      <c r="J75" s="573" t="s">
        <v>453</v>
      </c>
    </row>
    <row r="76" spans="1:10" ht="15" customHeight="1">
      <c r="A76" s="575"/>
      <c r="B76" s="576"/>
      <c r="C76" s="577"/>
      <c r="D76" s="577"/>
      <c r="E76" s="577"/>
      <c r="F76" s="578"/>
      <c r="G76" s="579"/>
      <c r="H76" s="580" t="s">
        <v>457</v>
      </c>
      <c r="I76" s="580" t="s">
        <v>457</v>
      </c>
      <c r="J76" s="581" t="s">
        <v>457</v>
      </c>
    </row>
    <row r="77" spans="1:10" ht="12.75">
      <c r="A77" s="582"/>
      <c r="B77" s="583"/>
      <c r="C77" s="550"/>
      <c r="D77" s="550"/>
      <c r="E77" s="550"/>
      <c r="F77" s="584"/>
      <c r="G77" s="582"/>
      <c r="H77" s="582"/>
      <c r="I77" s="582"/>
      <c r="J77" s="582"/>
    </row>
    <row r="78" spans="1:10" ht="19.5">
      <c r="A78" s="585"/>
      <c r="B78" s="586" t="s">
        <v>775</v>
      </c>
      <c r="C78" s="587"/>
      <c r="D78" s="552"/>
      <c r="E78" s="552"/>
      <c r="F78" s="584"/>
      <c r="G78" s="582"/>
      <c r="H78" s="582"/>
      <c r="I78" s="582"/>
      <c r="J78" s="582"/>
    </row>
    <row r="79" spans="1:10" ht="13.5">
      <c r="A79" s="588"/>
      <c r="B79" s="589"/>
      <c r="C79" s="590"/>
      <c r="D79" s="550"/>
      <c r="E79" s="550"/>
      <c r="F79" s="584"/>
      <c r="G79" s="582"/>
      <c r="H79" s="582"/>
      <c r="I79" s="582"/>
      <c r="J79" s="582"/>
    </row>
    <row r="80" spans="1:10" ht="16.5">
      <c r="A80" s="591"/>
      <c r="B80" s="609" t="s">
        <v>776</v>
      </c>
      <c r="C80" s="552"/>
      <c r="D80" s="552"/>
      <c r="E80" s="552"/>
      <c r="F80" s="593"/>
      <c r="G80" s="594"/>
      <c r="H80" s="594"/>
      <c r="I80" s="594"/>
      <c r="J80" s="594"/>
    </row>
    <row r="81" spans="1:10" ht="15.75">
      <c r="A81" s="591"/>
      <c r="B81" s="592"/>
      <c r="C81" s="552"/>
      <c r="D81" s="552"/>
      <c r="E81" s="552"/>
      <c r="F81" s="593"/>
      <c r="G81" s="594"/>
      <c r="H81" s="594"/>
      <c r="I81" s="594"/>
      <c r="J81" s="594"/>
    </row>
    <row r="82" spans="1:10" ht="17.25">
      <c r="A82" s="594"/>
      <c r="B82" s="592"/>
      <c r="C82" s="552"/>
      <c r="D82" s="596" t="s">
        <v>319</v>
      </c>
      <c r="E82" s="552"/>
      <c r="F82" s="610" t="s">
        <v>692</v>
      </c>
      <c r="G82" s="597" t="s">
        <v>460</v>
      </c>
      <c r="H82" s="1310">
        <f>18800/10000</f>
        <v>1.88</v>
      </c>
      <c r="I82" s="1310">
        <f>'[1]Иммун.'!$H$95</f>
        <v>18.279999999999998</v>
      </c>
      <c r="J82" s="1726">
        <f>SUM(H82:I82)</f>
        <v>20.159999999999997</v>
      </c>
    </row>
    <row r="83" spans="1:10" ht="15.75">
      <c r="A83" s="594"/>
      <c r="B83" s="592"/>
      <c r="C83" s="552"/>
      <c r="D83" s="552"/>
      <c r="E83" s="552"/>
      <c r="F83" s="593"/>
      <c r="G83" s="594"/>
      <c r="H83" s="594"/>
      <c r="I83" s="594"/>
      <c r="J83" s="594"/>
    </row>
    <row r="84" spans="1:10" ht="15.75">
      <c r="A84" s="600"/>
      <c r="B84" s="601"/>
      <c r="C84" s="602"/>
      <c r="D84" s="602"/>
      <c r="E84" s="602"/>
      <c r="F84" s="603"/>
      <c r="G84" s="600"/>
      <c r="H84" s="600"/>
      <c r="I84" s="600"/>
      <c r="J84" s="600"/>
    </row>
    <row r="85" spans="1:10" ht="15.75">
      <c r="A85" s="595"/>
      <c r="B85" s="595"/>
      <c r="C85" s="595"/>
      <c r="D85" s="595"/>
      <c r="E85" s="595"/>
      <c r="F85" s="595"/>
      <c r="G85" s="595"/>
      <c r="H85" s="595"/>
      <c r="I85" s="595"/>
      <c r="J85" s="595"/>
    </row>
    <row r="86" spans="1:10" ht="15.75">
      <c r="A86" s="595"/>
      <c r="B86" s="595"/>
      <c r="C86" s="595"/>
      <c r="D86" s="595"/>
      <c r="E86" s="595"/>
      <c r="F86" s="595"/>
      <c r="G86" s="595"/>
      <c r="H86" s="595"/>
      <c r="I86" s="595"/>
      <c r="J86" s="595"/>
    </row>
    <row r="87" spans="1:10" ht="15.75">
      <c r="A87" s="595"/>
      <c r="B87" s="595"/>
      <c r="C87" s="595"/>
      <c r="D87" s="595"/>
      <c r="E87" s="595"/>
      <c r="F87" s="595"/>
      <c r="G87" s="595"/>
      <c r="H87" s="595"/>
      <c r="I87" s="595"/>
      <c r="J87" s="595"/>
    </row>
    <row r="88" spans="1:10" ht="15.75">
      <c r="A88" s="595"/>
      <c r="B88" s="595"/>
      <c r="C88" s="595"/>
      <c r="D88" s="595"/>
      <c r="E88" s="595"/>
      <c r="F88" s="595"/>
      <c r="G88" s="595"/>
      <c r="H88" s="595"/>
      <c r="I88" s="595"/>
      <c r="J88" s="595"/>
    </row>
    <row r="89" spans="1:10" ht="15.75">
      <c r="A89" s="551" t="s">
        <v>391</v>
      </c>
      <c r="B89" s="552"/>
      <c r="C89" s="552"/>
      <c r="D89" s="552"/>
      <c r="E89" s="552"/>
      <c r="F89" s="552"/>
      <c r="G89" s="552"/>
      <c r="H89" s="551"/>
      <c r="I89" s="551" t="s">
        <v>10</v>
      </c>
      <c r="J89" s="551"/>
    </row>
    <row r="90" spans="1:10" ht="15">
      <c r="A90" s="571"/>
      <c r="B90" s="605"/>
      <c r="C90" s="605"/>
      <c r="D90" s="605"/>
      <c r="E90" s="605"/>
      <c r="F90" s="605"/>
      <c r="G90" s="605"/>
      <c r="H90" s="571"/>
      <c r="I90" s="571"/>
      <c r="J90" s="571"/>
    </row>
    <row r="91" spans="1:10" ht="15.75">
      <c r="A91" s="551" t="s">
        <v>152</v>
      </c>
      <c r="B91" s="552"/>
      <c r="C91" s="552"/>
      <c r="D91" s="552"/>
      <c r="E91" s="552"/>
      <c r="F91" s="552"/>
      <c r="G91" s="552"/>
      <c r="H91" s="551"/>
      <c r="I91" s="551" t="s">
        <v>148</v>
      </c>
      <c r="J91" s="551"/>
    </row>
    <row r="92" spans="1:10" ht="15">
      <c r="A92" s="571"/>
      <c r="B92" s="605"/>
      <c r="C92" s="605"/>
      <c r="D92" s="605"/>
      <c r="E92" s="605"/>
      <c r="F92" s="605"/>
      <c r="G92" s="605"/>
      <c r="H92" s="571"/>
      <c r="I92" s="571"/>
      <c r="J92" s="571"/>
    </row>
    <row r="93" spans="1:10" ht="15.75">
      <c r="A93" s="551" t="s">
        <v>831</v>
      </c>
      <c r="B93" s="552"/>
      <c r="C93" s="552"/>
      <c r="D93" s="552"/>
      <c r="E93" s="552"/>
      <c r="F93" s="552"/>
      <c r="G93" s="552"/>
      <c r="H93" s="551"/>
      <c r="I93" s="551" t="s">
        <v>832</v>
      </c>
      <c r="J93" s="551"/>
    </row>
    <row r="94" spans="1:10" ht="15">
      <c r="A94" s="604"/>
      <c r="B94" s="605"/>
      <c r="C94" s="605"/>
      <c r="D94" s="605"/>
      <c r="E94" s="605"/>
      <c r="F94" s="605"/>
      <c r="G94" s="605"/>
      <c r="H94" s="604"/>
      <c r="I94" s="604"/>
      <c r="J94" s="604"/>
    </row>
    <row r="97" spans="1:10" ht="15.75">
      <c r="A97" s="549"/>
      <c r="B97" s="550"/>
      <c r="C97" s="550"/>
      <c r="D97" s="550"/>
      <c r="E97" s="550"/>
      <c r="F97" s="550"/>
      <c r="G97" s="551"/>
      <c r="H97" s="551"/>
      <c r="I97" s="552"/>
      <c r="J97" s="552"/>
    </row>
    <row r="98" spans="1:10" ht="15.75">
      <c r="A98" s="549"/>
      <c r="B98" s="550"/>
      <c r="C98" s="550"/>
      <c r="D98" s="550"/>
      <c r="E98" s="550"/>
      <c r="F98" s="550"/>
      <c r="G98" s="2459" t="s">
        <v>178</v>
      </c>
      <c r="H98" s="2459"/>
      <c r="I98" s="2459"/>
      <c r="J98" s="2459"/>
    </row>
    <row r="99" spans="1:10" ht="15.75">
      <c r="A99" s="549"/>
      <c r="B99" s="550"/>
      <c r="C99" s="550"/>
      <c r="D99" s="550"/>
      <c r="E99" s="550"/>
      <c r="F99" s="550"/>
      <c r="G99" s="551"/>
      <c r="H99" s="551"/>
      <c r="I99" s="552"/>
      <c r="J99" s="554" t="s">
        <v>279</v>
      </c>
    </row>
    <row r="100" spans="1:10" ht="15.75">
      <c r="A100" s="549"/>
      <c r="B100" s="550"/>
      <c r="C100" s="550"/>
      <c r="D100" s="550"/>
      <c r="E100" s="550"/>
      <c r="F100" s="550"/>
      <c r="G100" s="2459" t="s">
        <v>280</v>
      </c>
      <c r="H100" s="2459"/>
      <c r="I100" s="2459"/>
      <c r="J100" s="2459"/>
    </row>
    <row r="101" spans="1:10" ht="15.75">
      <c r="A101" s="549"/>
      <c r="B101" s="550"/>
      <c r="C101" s="550"/>
      <c r="D101" s="550"/>
      <c r="E101" s="550"/>
      <c r="F101" s="550"/>
      <c r="G101" s="1889">
        <v>21</v>
      </c>
      <c r="H101" s="2462" t="s">
        <v>277</v>
      </c>
      <c r="I101" s="2462"/>
      <c r="J101" s="557" t="s">
        <v>17</v>
      </c>
    </row>
    <row r="102" spans="1:10" ht="15.75">
      <c r="A102" s="549"/>
      <c r="B102" s="550"/>
      <c r="C102" s="550"/>
      <c r="D102" s="550"/>
      <c r="E102" s="550"/>
      <c r="F102" s="550"/>
      <c r="G102" s="551"/>
      <c r="H102" s="555"/>
      <c r="I102" s="554"/>
      <c r="J102" s="554"/>
    </row>
    <row r="103" spans="1:10" ht="12.75">
      <c r="A103" s="549"/>
      <c r="B103" s="550"/>
      <c r="C103" s="550"/>
      <c r="D103" s="550"/>
      <c r="E103" s="550"/>
      <c r="F103" s="550"/>
      <c r="G103" s="558"/>
      <c r="H103" s="549"/>
      <c r="I103" s="550"/>
      <c r="J103" s="550"/>
    </row>
    <row r="104" spans="1:10" ht="15.75">
      <c r="A104" s="549"/>
      <c r="B104" s="550"/>
      <c r="C104" s="550"/>
      <c r="D104" s="550"/>
      <c r="E104" s="550"/>
      <c r="F104" s="550"/>
      <c r="G104" s="554"/>
      <c r="H104" s="555"/>
      <c r="I104" s="555"/>
      <c r="J104" s="555"/>
    </row>
    <row r="105" spans="1:10" ht="18.75">
      <c r="A105" s="2458" t="s">
        <v>439</v>
      </c>
      <c r="B105" s="2458"/>
      <c r="C105" s="2458"/>
      <c r="D105" s="2458"/>
      <c r="E105" s="2458"/>
      <c r="F105" s="2458"/>
      <c r="G105" s="2458"/>
      <c r="H105" s="2458"/>
      <c r="I105" s="2458"/>
      <c r="J105" s="2458"/>
    </row>
    <row r="106" spans="1:10" ht="18.75">
      <c r="A106" s="2458" t="s">
        <v>440</v>
      </c>
      <c r="B106" s="2458"/>
      <c r="C106" s="2458"/>
      <c r="D106" s="2458"/>
      <c r="E106" s="2458"/>
      <c r="F106" s="2458"/>
      <c r="G106" s="2458"/>
      <c r="H106" s="2458"/>
      <c r="I106" s="2458"/>
      <c r="J106" s="2458"/>
    </row>
    <row r="107" spans="1:10" ht="19.5">
      <c r="A107" s="559"/>
      <c r="B107" s="559"/>
      <c r="C107" s="559"/>
      <c r="D107" s="559"/>
      <c r="E107" s="559"/>
      <c r="F107" s="559"/>
      <c r="G107" s="559"/>
      <c r="H107" s="559"/>
      <c r="I107" s="559"/>
      <c r="J107" s="559"/>
    </row>
    <row r="108" spans="1:10" ht="12.75">
      <c r="A108" s="549"/>
      <c r="B108" s="550"/>
      <c r="C108" s="550"/>
      <c r="D108" s="550"/>
      <c r="E108" s="550"/>
      <c r="F108" s="550"/>
      <c r="G108" s="558"/>
      <c r="H108" s="549"/>
      <c r="I108" s="550"/>
      <c r="J108" s="550"/>
    </row>
    <row r="109" spans="1:10" ht="15.75">
      <c r="A109" s="549"/>
      <c r="B109" s="608" t="s">
        <v>278</v>
      </c>
      <c r="C109" s="560"/>
      <c r="D109" s="561"/>
      <c r="E109" s="550"/>
      <c r="F109" s="550"/>
      <c r="G109" s="558"/>
      <c r="H109" s="549"/>
      <c r="I109" s="550"/>
      <c r="J109" s="550"/>
    </row>
    <row r="110" spans="1:10" ht="15">
      <c r="A110" s="562"/>
      <c r="B110" s="563"/>
      <c r="C110" s="564"/>
      <c r="D110" s="564"/>
      <c r="E110" s="564"/>
      <c r="F110" s="565"/>
      <c r="G110" s="566"/>
      <c r="H110" s="567"/>
      <c r="I110" s="567" t="s">
        <v>442</v>
      </c>
      <c r="J110" s="568" t="s">
        <v>443</v>
      </c>
    </row>
    <row r="111" spans="1:10" ht="15">
      <c r="A111" s="569" t="s">
        <v>444</v>
      </c>
      <c r="B111" s="2455" t="s">
        <v>445</v>
      </c>
      <c r="C111" s="2456"/>
      <c r="D111" s="2456"/>
      <c r="E111" s="2456"/>
      <c r="F111" s="2457"/>
      <c r="G111" s="569" t="s">
        <v>446</v>
      </c>
      <c r="H111" s="569" t="s">
        <v>447</v>
      </c>
      <c r="I111" s="569" t="s">
        <v>448</v>
      </c>
      <c r="J111" s="573" t="s">
        <v>449</v>
      </c>
    </row>
    <row r="112" spans="1:10" ht="15">
      <c r="A112" s="569" t="s">
        <v>450</v>
      </c>
      <c r="B112" s="570"/>
      <c r="C112" s="571"/>
      <c r="D112" s="571"/>
      <c r="E112" s="571"/>
      <c r="F112" s="572"/>
      <c r="G112" s="569" t="s">
        <v>451</v>
      </c>
      <c r="H112" s="574"/>
      <c r="I112" s="569" t="s">
        <v>452</v>
      </c>
      <c r="J112" s="573" t="s">
        <v>453</v>
      </c>
    </row>
    <row r="113" spans="1:10" ht="15">
      <c r="A113" s="575"/>
      <c r="B113" s="576"/>
      <c r="C113" s="577"/>
      <c r="D113" s="577"/>
      <c r="E113" s="577"/>
      <c r="F113" s="578"/>
      <c r="G113" s="579"/>
      <c r="H113" s="580" t="s">
        <v>457</v>
      </c>
      <c r="I113" s="580" t="s">
        <v>457</v>
      </c>
      <c r="J113" s="581" t="s">
        <v>457</v>
      </c>
    </row>
    <row r="114" spans="1:10" ht="12.75">
      <c r="A114" s="582"/>
      <c r="B114" s="583"/>
      <c r="C114" s="550"/>
      <c r="D114" s="550"/>
      <c r="E114" s="550"/>
      <c r="F114" s="584"/>
      <c r="G114" s="582"/>
      <c r="H114" s="582"/>
      <c r="I114" s="582"/>
      <c r="J114" s="582"/>
    </row>
    <row r="115" spans="1:10" ht="19.5">
      <c r="A115" s="585"/>
      <c r="B115" s="586" t="s">
        <v>775</v>
      </c>
      <c r="C115" s="587"/>
      <c r="D115" s="552"/>
      <c r="E115" s="552"/>
      <c r="F115" s="584"/>
      <c r="G115" s="582"/>
      <c r="H115" s="582"/>
      <c r="I115" s="582"/>
      <c r="J115" s="582"/>
    </row>
    <row r="116" spans="1:10" ht="13.5">
      <c r="A116" s="588"/>
      <c r="B116" s="589"/>
      <c r="C116" s="590"/>
      <c r="D116" s="550"/>
      <c r="E116" s="550"/>
      <c r="F116" s="584"/>
      <c r="G116" s="582"/>
      <c r="H116" s="582"/>
      <c r="I116" s="582"/>
      <c r="J116" s="582"/>
    </row>
    <row r="117" spans="1:10" ht="16.5">
      <c r="A117" s="591"/>
      <c r="B117" s="609" t="s">
        <v>776</v>
      </c>
      <c r="C117" s="552"/>
      <c r="D117" s="552"/>
      <c r="E117" s="552"/>
      <c r="F117" s="593"/>
      <c r="G117" s="594"/>
      <c r="H117" s="594"/>
      <c r="I117" s="594"/>
      <c r="J117" s="594"/>
    </row>
    <row r="118" spans="1:10" ht="15.75">
      <c r="A118" s="591"/>
      <c r="B118" s="592"/>
      <c r="C118" s="552"/>
      <c r="D118" s="552"/>
      <c r="E118" s="552"/>
      <c r="F118" s="593"/>
      <c r="G118" s="594"/>
      <c r="H118" s="594"/>
      <c r="I118" s="594"/>
      <c r="J118" s="594"/>
    </row>
    <row r="119" spans="1:10" ht="17.25">
      <c r="A119" s="594"/>
      <c r="B119" s="2460" t="s">
        <v>319</v>
      </c>
      <c r="C119" s="2461"/>
      <c r="D119" s="2461"/>
      <c r="E119" s="552"/>
      <c r="F119" s="610" t="s">
        <v>158</v>
      </c>
      <c r="G119" s="597" t="s">
        <v>460</v>
      </c>
      <c r="H119" s="591">
        <v>1.88</v>
      </c>
      <c r="I119" s="1310">
        <f>'[1]Иммун.'!$H$20</f>
        <v>4.4080994</v>
      </c>
      <c r="J119" s="1726">
        <f>SUM(H119:I119)</f>
        <v>6.2880994</v>
      </c>
    </row>
    <row r="120" spans="1:10" ht="15.75">
      <c r="A120" s="594"/>
      <c r="B120" s="592"/>
      <c r="C120" s="552"/>
      <c r="D120" s="552"/>
      <c r="E120" s="552"/>
      <c r="F120" s="593"/>
      <c r="G120" s="594"/>
      <c r="H120" s="594"/>
      <c r="I120" s="594"/>
      <c r="J120" s="594"/>
    </row>
    <row r="121" spans="1:10" ht="15.75">
      <c r="A121" s="600"/>
      <c r="B121" s="601"/>
      <c r="C121" s="602"/>
      <c r="D121" s="602"/>
      <c r="E121" s="602"/>
      <c r="F121" s="603"/>
      <c r="G121" s="600"/>
      <c r="H121" s="600"/>
      <c r="I121" s="600"/>
      <c r="J121" s="600"/>
    </row>
    <row r="122" spans="1:10" ht="15.75">
      <c r="A122" s="595"/>
      <c r="B122" s="595"/>
      <c r="C122" s="595"/>
      <c r="D122" s="595"/>
      <c r="E122" s="595"/>
      <c r="F122" s="595"/>
      <c r="G122" s="595"/>
      <c r="H122" s="595"/>
      <c r="I122" s="595"/>
      <c r="J122" s="595"/>
    </row>
    <row r="123" spans="1:10" ht="15.75">
      <c r="A123" s="595"/>
      <c r="B123" s="595"/>
      <c r="C123" s="595"/>
      <c r="D123" s="595"/>
      <c r="E123" s="595"/>
      <c r="F123" s="595"/>
      <c r="G123" s="595"/>
      <c r="H123" s="595"/>
      <c r="I123" s="595"/>
      <c r="J123" s="595"/>
    </row>
    <row r="124" spans="1:10" ht="15.75">
      <c r="A124" s="595"/>
      <c r="B124" s="595"/>
      <c r="C124" s="595"/>
      <c r="D124" s="595"/>
      <c r="E124" s="595"/>
      <c r="F124" s="595"/>
      <c r="G124" s="595"/>
      <c r="H124" s="595"/>
      <c r="I124" s="595"/>
      <c r="J124" s="595"/>
    </row>
    <row r="125" spans="1:10" ht="15.75">
      <c r="A125" s="595"/>
      <c r="B125" s="595"/>
      <c r="C125" s="595"/>
      <c r="D125" s="595"/>
      <c r="E125" s="595"/>
      <c r="F125" s="595"/>
      <c r="G125" s="595"/>
      <c r="H125" s="595"/>
      <c r="I125" s="595"/>
      <c r="J125" s="595"/>
    </row>
    <row r="126" spans="1:10" ht="15.75">
      <c r="A126" s="551" t="s">
        <v>281</v>
      </c>
      <c r="B126" s="552"/>
      <c r="C126" s="552"/>
      <c r="D126" s="552"/>
      <c r="E126" s="552"/>
      <c r="F126" s="552"/>
      <c r="G126" s="552"/>
      <c r="H126" s="551"/>
      <c r="I126" s="551" t="s">
        <v>282</v>
      </c>
      <c r="J126" s="551"/>
    </row>
    <row r="127" spans="1:10" ht="15">
      <c r="A127" s="571"/>
      <c r="B127" s="605"/>
      <c r="C127" s="605"/>
      <c r="D127" s="605"/>
      <c r="E127" s="605"/>
      <c r="F127" s="605"/>
      <c r="G127" s="605"/>
      <c r="H127" s="571"/>
      <c r="I127" s="571"/>
      <c r="J127" s="571"/>
    </row>
    <row r="128" spans="1:10" ht="15.75">
      <c r="A128" s="551" t="s">
        <v>152</v>
      </c>
      <c r="B128" s="552"/>
      <c r="C128" s="552"/>
      <c r="D128" s="552"/>
      <c r="E128" s="552"/>
      <c r="F128" s="552"/>
      <c r="G128" s="552"/>
      <c r="H128" s="551"/>
      <c r="I128" s="551" t="s">
        <v>535</v>
      </c>
      <c r="J128" s="551"/>
    </row>
    <row r="129" spans="1:10" ht="15">
      <c r="A129" s="571"/>
      <c r="B129" s="605"/>
      <c r="C129" s="605"/>
      <c r="D129" s="605"/>
      <c r="E129" s="605"/>
      <c r="F129" s="605"/>
      <c r="G129" s="605"/>
      <c r="H129" s="571"/>
      <c r="I129" s="571"/>
      <c r="J129" s="571"/>
    </row>
    <row r="130" spans="1:10" ht="15.75">
      <c r="A130" s="551" t="s">
        <v>831</v>
      </c>
      <c r="B130" s="552"/>
      <c r="C130" s="552"/>
      <c r="D130" s="552"/>
      <c r="E130" s="552"/>
      <c r="F130" s="552"/>
      <c r="G130" s="552"/>
      <c r="H130" s="551"/>
      <c r="I130" s="551" t="s">
        <v>832</v>
      </c>
      <c r="J130" s="551"/>
    </row>
    <row r="136" spans="1:10" ht="15.75">
      <c r="A136" s="549"/>
      <c r="B136" s="550"/>
      <c r="C136" s="550"/>
      <c r="D136" s="550"/>
      <c r="E136" s="550"/>
      <c r="F136" s="550"/>
      <c r="G136" s="551"/>
      <c r="H136" s="551" t="s">
        <v>178</v>
      </c>
      <c r="I136" s="552"/>
      <c r="J136" s="552"/>
    </row>
    <row r="137" spans="1:10" ht="15.75">
      <c r="A137" s="549"/>
      <c r="B137" s="550"/>
      <c r="C137" s="550"/>
      <c r="D137" s="550"/>
      <c r="E137" s="550"/>
      <c r="F137" s="550"/>
      <c r="G137" s="551"/>
      <c r="H137" s="551"/>
      <c r="I137" s="552"/>
      <c r="J137" s="554" t="s">
        <v>437</v>
      </c>
    </row>
    <row r="138" spans="1:10" ht="15.75">
      <c r="A138" s="549"/>
      <c r="B138" s="550"/>
      <c r="C138" s="550"/>
      <c r="D138" s="550"/>
      <c r="E138" s="550"/>
      <c r="F138" s="550"/>
      <c r="G138" s="551"/>
      <c r="H138" s="555"/>
      <c r="I138" s="552"/>
      <c r="J138" s="554" t="s">
        <v>345</v>
      </c>
    </row>
    <row r="139" spans="1:10" ht="15.75">
      <c r="A139" s="549"/>
      <c r="B139" s="550"/>
      <c r="C139" s="550"/>
      <c r="D139" s="550"/>
      <c r="E139" s="550"/>
      <c r="F139" s="550"/>
      <c r="G139" s="551"/>
      <c r="H139" s="556">
        <v>24</v>
      </c>
      <c r="I139" s="557" t="s">
        <v>884</v>
      </c>
      <c r="J139" s="557" t="s">
        <v>374</v>
      </c>
    </row>
    <row r="140" spans="1:10" ht="15.75">
      <c r="A140" s="549"/>
      <c r="B140" s="550"/>
      <c r="C140" s="550"/>
      <c r="D140" s="550"/>
      <c r="E140" s="550"/>
      <c r="F140" s="550"/>
      <c r="G140" s="551"/>
      <c r="H140" s="555"/>
      <c r="I140" s="554"/>
      <c r="J140" s="554"/>
    </row>
    <row r="141" spans="1:10" ht="12.75">
      <c r="A141" s="549"/>
      <c r="B141" s="550"/>
      <c r="C141" s="550"/>
      <c r="D141" s="550"/>
      <c r="E141" s="550"/>
      <c r="F141" s="550"/>
      <c r="G141" s="558"/>
      <c r="H141" s="549"/>
      <c r="I141" s="550"/>
      <c r="J141" s="550"/>
    </row>
    <row r="142" spans="1:10" ht="15.75">
      <c r="A142" s="549"/>
      <c r="B142" s="550"/>
      <c r="C142" s="550"/>
      <c r="D142" s="550"/>
      <c r="E142" s="550"/>
      <c r="F142" s="550"/>
      <c r="G142" s="554"/>
      <c r="H142" s="555"/>
      <c r="I142" s="555"/>
      <c r="J142" s="555"/>
    </row>
    <row r="143" spans="1:10" ht="18.75">
      <c r="A143" s="2458" t="s">
        <v>439</v>
      </c>
      <c r="B143" s="2458"/>
      <c r="C143" s="2458"/>
      <c r="D143" s="2458"/>
      <c r="E143" s="2458"/>
      <c r="F143" s="2458"/>
      <c r="G143" s="2458"/>
      <c r="H143" s="2458"/>
      <c r="I143" s="2458"/>
      <c r="J143" s="2458"/>
    </row>
    <row r="144" spans="1:10" ht="18.75">
      <c r="A144" s="2458" t="s">
        <v>440</v>
      </c>
      <c r="B144" s="2458"/>
      <c r="C144" s="2458"/>
      <c r="D144" s="2458"/>
      <c r="E144" s="2458"/>
      <c r="F144" s="2458"/>
      <c r="G144" s="2458"/>
      <c r="H144" s="2458"/>
      <c r="I144" s="2458"/>
      <c r="J144" s="2458"/>
    </row>
    <row r="145" spans="1:10" ht="19.5">
      <c r="A145" s="559"/>
      <c r="B145" s="559"/>
      <c r="C145" s="559"/>
      <c r="D145" s="559"/>
      <c r="E145" s="559"/>
      <c r="F145" s="559"/>
      <c r="G145" s="559"/>
      <c r="H145" s="559"/>
      <c r="I145" s="559"/>
      <c r="J145" s="559"/>
    </row>
    <row r="146" spans="1:10" ht="12.75">
      <c r="A146" s="549"/>
      <c r="B146" s="550"/>
      <c r="C146" s="550"/>
      <c r="D146" s="550"/>
      <c r="E146" s="550"/>
      <c r="F146" s="550"/>
      <c r="G146" s="558"/>
      <c r="H146" s="549"/>
      <c r="I146" s="550"/>
      <c r="J146" s="550"/>
    </row>
    <row r="147" spans="1:10" ht="15.75">
      <c r="A147" s="549"/>
      <c r="B147" s="608" t="s">
        <v>885</v>
      </c>
      <c r="C147" s="560"/>
      <c r="D147" s="561"/>
      <c r="E147" s="550"/>
      <c r="F147" s="550"/>
      <c r="G147" s="558"/>
      <c r="H147" s="549"/>
      <c r="I147" s="550"/>
      <c r="J147" s="550"/>
    </row>
    <row r="148" spans="1:10" ht="15">
      <c r="A148" s="562"/>
      <c r="B148" s="563"/>
      <c r="C148" s="564"/>
      <c r="D148" s="564"/>
      <c r="E148" s="564"/>
      <c r="F148" s="565"/>
      <c r="G148" s="566"/>
      <c r="H148" s="567"/>
      <c r="I148" s="567" t="s">
        <v>442</v>
      </c>
      <c r="J148" s="568" t="s">
        <v>443</v>
      </c>
    </row>
    <row r="149" spans="1:10" ht="15">
      <c r="A149" s="569" t="s">
        <v>444</v>
      </c>
      <c r="B149" s="2455" t="s">
        <v>445</v>
      </c>
      <c r="C149" s="2456"/>
      <c r="D149" s="2456"/>
      <c r="E149" s="2456"/>
      <c r="F149" s="2457"/>
      <c r="G149" s="569" t="s">
        <v>446</v>
      </c>
      <c r="H149" s="569" t="s">
        <v>447</v>
      </c>
      <c r="I149" s="569" t="s">
        <v>448</v>
      </c>
      <c r="J149" s="573" t="s">
        <v>449</v>
      </c>
    </row>
    <row r="150" spans="1:10" ht="15">
      <c r="A150" s="569" t="s">
        <v>450</v>
      </c>
      <c r="B150" s="570"/>
      <c r="C150" s="571"/>
      <c r="D150" s="571"/>
      <c r="E150" s="571"/>
      <c r="F150" s="572"/>
      <c r="G150" s="569" t="s">
        <v>451</v>
      </c>
      <c r="H150" s="574"/>
      <c r="I150" s="569" t="s">
        <v>452</v>
      </c>
      <c r="J150" s="573" t="s">
        <v>453</v>
      </c>
    </row>
    <row r="151" spans="1:10" ht="15">
      <c r="A151" s="575"/>
      <c r="B151" s="576"/>
      <c r="C151" s="577"/>
      <c r="D151" s="577"/>
      <c r="E151" s="577"/>
      <c r="F151" s="578"/>
      <c r="G151" s="579"/>
      <c r="H151" s="580" t="s">
        <v>457</v>
      </c>
      <c r="I151" s="580" t="s">
        <v>457</v>
      </c>
      <c r="J151" s="581" t="s">
        <v>457</v>
      </c>
    </row>
    <row r="152" spans="1:10" ht="12.75">
      <c r="A152" s="582"/>
      <c r="B152" s="583"/>
      <c r="C152" s="550"/>
      <c r="D152" s="550"/>
      <c r="E152" s="550"/>
      <c r="F152" s="584"/>
      <c r="G152" s="582"/>
      <c r="H152" s="582"/>
      <c r="I152" s="582"/>
      <c r="J152" s="582"/>
    </row>
    <row r="153" spans="1:10" ht="19.5">
      <c r="A153" s="585"/>
      <c r="B153" s="586" t="s">
        <v>775</v>
      </c>
      <c r="C153" s="587"/>
      <c r="D153" s="552"/>
      <c r="E153" s="552"/>
      <c r="F153" s="584"/>
      <c r="G153" s="582"/>
      <c r="H153" s="582"/>
      <c r="I153" s="582"/>
      <c r="J153" s="582"/>
    </row>
    <row r="154" spans="1:10" ht="13.5">
      <c r="A154" s="588"/>
      <c r="B154" s="589"/>
      <c r="C154" s="590"/>
      <c r="D154" s="550"/>
      <c r="E154" s="550"/>
      <c r="F154" s="584"/>
      <c r="G154" s="582"/>
      <c r="H154" s="582"/>
      <c r="I154" s="582"/>
      <c r="J154" s="582"/>
    </row>
    <row r="155" spans="1:10" ht="16.5">
      <c r="A155" s="591"/>
      <c r="B155" s="609" t="s">
        <v>776</v>
      </c>
      <c r="C155" s="552"/>
      <c r="D155" s="552"/>
      <c r="E155" s="552"/>
      <c r="F155" s="593"/>
      <c r="G155" s="594"/>
      <c r="H155" s="594"/>
      <c r="I155" s="594"/>
      <c r="J155" s="594"/>
    </row>
    <row r="156" spans="1:10" ht="15.75">
      <c r="A156" s="591"/>
      <c r="B156" s="592"/>
      <c r="C156" s="552"/>
      <c r="D156" s="552"/>
      <c r="E156" s="552"/>
      <c r="F156" s="593"/>
      <c r="G156" s="594"/>
      <c r="H156" s="594"/>
      <c r="I156" s="594"/>
      <c r="J156" s="594"/>
    </row>
    <row r="157" spans="1:10" ht="17.25">
      <c r="A157" s="594"/>
      <c r="B157" s="592"/>
      <c r="C157" s="552"/>
      <c r="D157" s="596" t="s">
        <v>319</v>
      </c>
      <c r="E157" s="605"/>
      <c r="F157" s="1897" t="s">
        <v>825</v>
      </c>
      <c r="G157" s="597" t="s">
        <v>460</v>
      </c>
      <c r="H157" s="591">
        <v>1.88</v>
      </c>
      <c r="I157" s="1310">
        <f>'[1]Иммун.'!$H$133</f>
        <v>70.56</v>
      </c>
      <c r="J157" s="1726">
        <f>SUM(H157:I157)</f>
        <v>72.44</v>
      </c>
    </row>
    <row r="158" spans="1:10" ht="15.75">
      <c r="A158" s="594"/>
      <c r="B158" s="592"/>
      <c r="C158" s="552"/>
      <c r="D158" s="552"/>
      <c r="E158" s="552"/>
      <c r="F158" s="593"/>
      <c r="G158" s="594"/>
      <c r="H158" s="594"/>
      <c r="I158" s="594"/>
      <c r="J158" s="594"/>
    </row>
    <row r="159" spans="1:10" ht="15.75">
      <c r="A159" s="600"/>
      <c r="B159" s="601"/>
      <c r="C159" s="602"/>
      <c r="D159" s="602"/>
      <c r="E159" s="602"/>
      <c r="F159" s="603"/>
      <c r="G159" s="600"/>
      <c r="H159" s="600"/>
      <c r="I159" s="600"/>
      <c r="J159" s="600"/>
    </row>
    <row r="160" spans="1:10" ht="15.75">
      <c r="A160" s="595"/>
      <c r="B160" s="595"/>
      <c r="C160" s="595"/>
      <c r="D160" s="595"/>
      <c r="E160" s="595"/>
      <c r="F160" s="595"/>
      <c r="G160" s="595"/>
      <c r="H160" s="595"/>
      <c r="I160" s="595"/>
      <c r="J160" s="595"/>
    </row>
    <row r="161" spans="1:10" ht="15.75">
      <c r="A161" s="595"/>
      <c r="B161" s="595"/>
      <c r="C161" s="595"/>
      <c r="D161" s="595"/>
      <c r="E161" s="595"/>
      <c r="F161" s="595"/>
      <c r="G161" s="595"/>
      <c r="H161" s="595"/>
      <c r="I161" s="595"/>
      <c r="J161" s="595"/>
    </row>
    <row r="162" spans="1:10" ht="15.75">
      <c r="A162" s="595"/>
      <c r="B162" s="595"/>
      <c r="C162" s="595"/>
      <c r="D162" s="595"/>
      <c r="E162" s="595"/>
      <c r="F162" s="595"/>
      <c r="G162" s="595"/>
      <c r="H162" s="595"/>
      <c r="I162" s="595"/>
      <c r="J162" s="595"/>
    </row>
    <row r="163" spans="1:10" ht="15.75">
      <c r="A163" s="595"/>
      <c r="B163" s="595"/>
      <c r="C163" s="595"/>
      <c r="D163" s="595"/>
      <c r="E163" s="595"/>
      <c r="F163" s="595"/>
      <c r="G163" s="595"/>
      <c r="H163" s="595"/>
      <c r="I163" s="595"/>
      <c r="J163" s="595"/>
    </row>
    <row r="164" spans="1:10" ht="15.75">
      <c r="A164" s="551" t="s">
        <v>391</v>
      </c>
      <c r="B164" s="552"/>
      <c r="C164" s="552"/>
      <c r="D164" s="552"/>
      <c r="E164" s="552"/>
      <c r="F164" s="552"/>
      <c r="G164" s="552"/>
      <c r="H164" s="551"/>
      <c r="I164" s="551" t="s">
        <v>10</v>
      </c>
      <c r="J164" s="551"/>
    </row>
    <row r="165" spans="1:10" ht="15">
      <c r="A165" s="571"/>
      <c r="B165" s="605"/>
      <c r="C165" s="605"/>
      <c r="D165" s="605"/>
      <c r="E165" s="605"/>
      <c r="F165" s="605"/>
      <c r="G165" s="605"/>
      <c r="H165" s="571"/>
      <c r="I165" s="571"/>
      <c r="J165" s="571"/>
    </row>
    <row r="166" spans="1:10" ht="15.75">
      <c r="A166" s="551" t="s">
        <v>152</v>
      </c>
      <c r="B166" s="552"/>
      <c r="C166" s="552"/>
      <c r="D166" s="552"/>
      <c r="E166" s="552"/>
      <c r="F166" s="552"/>
      <c r="G166" s="552"/>
      <c r="H166" s="551"/>
      <c r="I166" s="551" t="s">
        <v>11</v>
      </c>
      <c r="J166" s="551"/>
    </row>
    <row r="167" spans="1:10" ht="15">
      <c r="A167" s="571"/>
      <c r="B167" s="605"/>
      <c r="C167" s="605"/>
      <c r="D167" s="605"/>
      <c r="E167" s="605"/>
      <c r="F167" s="605"/>
      <c r="G167" s="605"/>
      <c r="H167" s="571"/>
      <c r="I167" s="571"/>
      <c r="J167" s="571"/>
    </row>
    <row r="168" spans="1:10" ht="15.75">
      <c r="A168" s="551" t="s">
        <v>831</v>
      </c>
      <c r="B168" s="552"/>
      <c r="C168" s="552"/>
      <c r="D168" s="552"/>
      <c r="E168" s="552"/>
      <c r="F168" s="552"/>
      <c r="G168" s="552"/>
      <c r="H168" s="551"/>
      <c r="I168" s="551" t="s">
        <v>832</v>
      </c>
      <c r="J168" s="551"/>
    </row>
    <row r="169" spans="1:10" ht="15">
      <c r="A169" s="604"/>
      <c r="B169" s="605"/>
      <c r="C169" s="605"/>
      <c r="D169" s="605"/>
      <c r="E169" s="605"/>
      <c r="F169" s="605"/>
      <c r="G169" s="605"/>
      <c r="H169" s="604"/>
      <c r="I169" s="604"/>
      <c r="J169" s="604"/>
    </row>
  </sheetData>
  <sheetProtection/>
  <mergeCells count="16">
    <mergeCell ref="G98:J98"/>
    <mergeCell ref="A143:J143"/>
    <mergeCell ref="A144:J144"/>
    <mergeCell ref="B119:D119"/>
    <mergeCell ref="G100:J100"/>
    <mergeCell ref="H101:I101"/>
    <mergeCell ref="B149:F149"/>
    <mergeCell ref="A8:J8"/>
    <mergeCell ref="A9:J9"/>
    <mergeCell ref="B14:F14"/>
    <mergeCell ref="A68:J68"/>
    <mergeCell ref="B111:F111"/>
    <mergeCell ref="A105:J105"/>
    <mergeCell ref="A69:J69"/>
    <mergeCell ref="B74:F74"/>
    <mergeCell ref="A106:J10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5.140625" style="553" customWidth="1"/>
    <col min="2" max="6" width="9.140625" style="553" customWidth="1"/>
    <col min="7" max="7" width="6.7109375" style="553" customWidth="1"/>
    <col min="8" max="9" width="9.140625" style="553" customWidth="1"/>
    <col min="10" max="10" width="11.140625" style="553" customWidth="1"/>
    <col min="11" max="16384" width="9.140625" style="553" customWidth="1"/>
  </cols>
  <sheetData>
    <row r="1" spans="1:10" ht="15.75">
      <c r="A1" s="549"/>
      <c r="B1" s="550"/>
      <c r="C1" s="550"/>
      <c r="D1" s="550"/>
      <c r="E1" s="550"/>
      <c r="F1" s="550"/>
      <c r="G1" s="551"/>
      <c r="H1" s="551" t="s">
        <v>178</v>
      </c>
      <c r="I1" s="552"/>
      <c r="J1" s="552"/>
    </row>
    <row r="2" spans="1:10" ht="15.75">
      <c r="A2" s="549"/>
      <c r="B2" s="550"/>
      <c r="C2" s="550"/>
      <c r="D2" s="550"/>
      <c r="E2" s="550"/>
      <c r="F2" s="550"/>
      <c r="G2" s="551"/>
      <c r="H2" s="551"/>
      <c r="I2" s="552"/>
      <c r="J2" s="554" t="s">
        <v>437</v>
      </c>
    </row>
    <row r="3" spans="1:10" ht="15.75">
      <c r="A3" s="549"/>
      <c r="B3" s="550"/>
      <c r="C3" s="550"/>
      <c r="D3" s="550"/>
      <c r="E3" s="550"/>
      <c r="F3" s="550"/>
      <c r="G3" s="551"/>
      <c r="H3" s="555"/>
      <c r="I3" s="552"/>
      <c r="J3" s="554" t="s">
        <v>182</v>
      </c>
    </row>
    <row r="4" spans="1:10" ht="15.75">
      <c r="A4" s="549"/>
      <c r="B4" s="550"/>
      <c r="C4" s="550"/>
      <c r="D4" s="550"/>
      <c r="E4" s="550"/>
      <c r="F4" s="550"/>
      <c r="G4" s="551"/>
      <c r="H4" s="556">
        <v>27</v>
      </c>
      <c r="I4" s="557" t="s">
        <v>334</v>
      </c>
      <c r="J4" s="557" t="s">
        <v>234</v>
      </c>
    </row>
    <row r="5" spans="1:10" ht="15.75">
      <c r="A5" s="549"/>
      <c r="B5" s="550"/>
      <c r="C5" s="550"/>
      <c r="D5" s="550"/>
      <c r="E5" s="550"/>
      <c r="F5" s="550"/>
      <c r="G5" s="551"/>
      <c r="H5" s="555"/>
      <c r="I5" s="554"/>
      <c r="J5" s="554"/>
    </row>
    <row r="6" spans="1:10" ht="12.75">
      <c r="A6" s="549"/>
      <c r="B6" s="550"/>
      <c r="C6" s="550"/>
      <c r="D6" s="550"/>
      <c r="E6" s="550"/>
      <c r="F6" s="550"/>
      <c r="G6" s="558"/>
      <c r="H6" s="549"/>
      <c r="I6" s="550"/>
      <c r="J6" s="550"/>
    </row>
    <row r="7" spans="1:10" ht="15.75">
      <c r="A7" s="549"/>
      <c r="B7" s="550"/>
      <c r="C7" s="550"/>
      <c r="D7" s="550"/>
      <c r="E7" s="550"/>
      <c r="F7" s="550"/>
      <c r="G7" s="554"/>
      <c r="H7" s="555"/>
      <c r="I7" s="555"/>
      <c r="J7" s="555"/>
    </row>
    <row r="8" spans="1:10" ht="18.75">
      <c r="A8" s="2458" t="s">
        <v>439</v>
      </c>
      <c r="B8" s="2458"/>
      <c r="C8" s="2458"/>
      <c r="D8" s="2458"/>
      <c r="E8" s="2458"/>
      <c r="F8" s="2458"/>
      <c r="G8" s="2458"/>
      <c r="H8" s="2458"/>
      <c r="I8" s="2458"/>
      <c r="J8" s="2458"/>
    </row>
    <row r="9" spans="1:10" ht="18.75">
      <c r="A9" s="2458" t="s">
        <v>440</v>
      </c>
      <c r="B9" s="2458"/>
      <c r="C9" s="2458"/>
      <c r="D9" s="2458"/>
      <c r="E9" s="2458"/>
      <c r="F9" s="2458"/>
      <c r="G9" s="2458"/>
      <c r="H9" s="2458"/>
      <c r="I9" s="2458"/>
      <c r="J9" s="2458"/>
    </row>
    <row r="10" spans="1:10" ht="19.5">
      <c r="A10" s="559"/>
      <c r="B10" s="559"/>
      <c r="C10" s="559"/>
      <c r="D10" s="559"/>
      <c r="E10" s="559"/>
      <c r="F10" s="559"/>
      <c r="G10" s="559"/>
      <c r="H10" s="559"/>
      <c r="I10" s="559"/>
      <c r="J10" s="559"/>
    </row>
    <row r="11" spans="1:10" ht="12.75">
      <c r="A11" s="549"/>
      <c r="B11" s="550"/>
      <c r="C11" s="550"/>
      <c r="D11" s="550"/>
      <c r="E11" s="550"/>
      <c r="F11" s="550"/>
      <c r="G11" s="558"/>
      <c r="H11" s="549"/>
      <c r="I11" s="550"/>
      <c r="J11" s="550"/>
    </row>
    <row r="12" spans="1:10" ht="15.75">
      <c r="A12" s="549"/>
      <c r="B12" s="608" t="s">
        <v>335</v>
      </c>
      <c r="C12" s="560"/>
      <c r="D12" s="561"/>
      <c r="E12" s="550"/>
      <c r="F12" s="550"/>
      <c r="G12" s="558"/>
      <c r="H12" s="549"/>
      <c r="I12" s="550"/>
      <c r="J12" s="550"/>
    </row>
    <row r="13" spans="1:10" ht="15">
      <c r="A13" s="562"/>
      <c r="B13" s="563"/>
      <c r="C13" s="564"/>
      <c r="D13" s="564"/>
      <c r="E13" s="564"/>
      <c r="F13" s="565"/>
      <c r="G13" s="566"/>
      <c r="H13" s="567"/>
      <c r="I13" s="567" t="s">
        <v>442</v>
      </c>
      <c r="J13" s="568" t="s">
        <v>443</v>
      </c>
    </row>
    <row r="14" spans="1:10" ht="15">
      <c r="A14" s="569" t="s">
        <v>444</v>
      </c>
      <c r="B14" s="2455" t="s">
        <v>445</v>
      </c>
      <c r="C14" s="2456"/>
      <c r="D14" s="2456"/>
      <c r="E14" s="2456"/>
      <c r="F14" s="2457"/>
      <c r="G14" s="569" t="s">
        <v>446</v>
      </c>
      <c r="H14" s="569" t="s">
        <v>447</v>
      </c>
      <c r="I14" s="569" t="s">
        <v>448</v>
      </c>
      <c r="J14" s="573" t="s">
        <v>449</v>
      </c>
    </row>
    <row r="15" spans="1:10" ht="15">
      <c r="A15" s="569" t="s">
        <v>450</v>
      </c>
      <c r="B15" s="570"/>
      <c r="C15" s="571"/>
      <c r="D15" s="571"/>
      <c r="E15" s="571"/>
      <c r="F15" s="572"/>
      <c r="G15" s="569" t="s">
        <v>451</v>
      </c>
      <c r="H15" s="574"/>
      <c r="I15" s="569" t="s">
        <v>452</v>
      </c>
      <c r="J15" s="573" t="s">
        <v>453</v>
      </c>
    </row>
    <row r="16" spans="1:10" ht="15">
      <c r="A16" s="575"/>
      <c r="B16" s="576"/>
      <c r="C16" s="577"/>
      <c r="D16" s="577"/>
      <c r="E16" s="577"/>
      <c r="F16" s="578"/>
      <c r="G16" s="579"/>
      <c r="H16" s="580" t="s">
        <v>457</v>
      </c>
      <c r="I16" s="580" t="s">
        <v>457</v>
      </c>
      <c r="J16" s="581" t="s">
        <v>457</v>
      </c>
    </row>
    <row r="17" spans="1:10" ht="12.75">
      <c r="A17" s="582"/>
      <c r="B17" s="583"/>
      <c r="C17" s="550"/>
      <c r="D17" s="550"/>
      <c r="E17" s="550"/>
      <c r="F17" s="584"/>
      <c r="G17" s="582"/>
      <c r="H17" s="582"/>
      <c r="I17" s="582"/>
      <c r="J17" s="582"/>
    </row>
    <row r="18" spans="1:10" ht="19.5">
      <c r="A18" s="585"/>
      <c r="B18" s="586" t="s">
        <v>775</v>
      </c>
      <c r="C18" s="587"/>
      <c r="D18" s="552"/>
      <c r="E18" s="552"/>
      <c r="F18" s="584"/>
      <c r="G18" s="582"/>
      <c r="H18" s="582"/>
      <c r="I18" s="582"/>
      <c r="J18" s="582"/>
    </row>
    <row r="19" spans="1:10" ht="13.5">
      <c r="A19" s="588"/>
      <c r="B19" s="589"/>
      <c r="C19" s="590"/>
      <c r="D19" s="550"/>
      <c r="E19" s="550"/>
      <c r="F19" s="584"/>
      <c r="G19" s="582"/>
      <c r="H19" s="582"/>
      <c r="I19" s="582"/>
      <c r="J19" s="582"/>
    </row>
    <row r="20" spans="1:10" s="595" customFormat="1" ht="16.5">
      <c r="A20" s="591"/>
      <c r="B20" s="609" t="s">
        <v>776</v>
      </c>
      <c r="C20" s="552"/>
      <c r="D20" s="552"/>
      <c r="E20" s="552"/>
      <c r="F20" s="593"/>
      <c r="G20" s="594"/>
      <c r="H20" s="594"/>
      <c r="I20" s="594"/>
      <c r="J20" s="594"/>
    </row>
    <row r="21" spans="1:10" s="595" customFormat="1" ht="15.75">
      <c r="A21" s="591"/>
      <c r="B21" s="592"/>
      <c r="C21" s="552"/>
      <c r="D21" s="552"/>
      <c r="E21" s="552"/>
      <c r="F21" s="593"/>
      <c r="G21" s="594"/>
      <c r="H21" s="594"/>
      <c r="I21" s="594"/>
      <c r="J21" s="594"/>
    </row>
    <row r="22" spans="1:10" s="595" customFormat="1" ht="15" customHeight="1">
      <c r="A22" s="594"/>
      <c r="B22" s="592"/>
      <c r="C22" s="552"/>
      <c r="D22" s="596" t="s">
        <v>319</v>
      </c>
      <c r="E22" s="552"/>
      <c r="F22" s="610" t="s">
        <v>336</v>
      </c>
      <c r="G22" s="597" t="s">
        <v>460</v>
      </c>
      <c r="H22" s="591">
        <v>15700</v>
      </c>
      <c r="I22" s="598">
        <v>176050</v>
      </c>
      <c r="J22" s="946">
        <f>H22+I22</f>
        <v>191750</v>
      </c>
    </row>
    <row r="23" spans="1:10" s="595" customFormat="1" ht="15.75">
      <c r="A23" s="594"/>
      <c r="B23" s="592"/>
      <c r="C23" s="552"/>
      <c r="D23" s="552"/>
      <c r="E23" s="552"/>
      <c r="F23" s="593"/>
      <c r="G23" s="594"/>
      <c r="H23" s="594"/>
      <c r="I23" s="594"/>
      <c r="J23" s="945"/>
    </row>
    <row r="24" spans="1:10" s="595" customFormat="1" ht="15.75">
      <c r="A24" s="600"/>
      <c r="B24" s="601"/>
      <c r="C24" s="602"/>
      <c r="D24" s="602"/>
      <c r="E24" s="602"/>
      <c r="F24" s="603"/>
      <c r="G24" s="600"/>
      <c r="H24" s="600"/>
      <c r="I24" s="600"/>
      <c r="J24" s="600"/>
    </row>
    <row r="25" s="595" customFormat="1" ht="15.75"/>
    <row r="26" s="595" customFormat="1" ht="15.75"/>
    <row r="27" s="595" customFormat="1" ht="15.75"/>
    <row r="28" s="595" customFormat="1" ht="15.75"/>
    <row r="29" spans="1:12" s="595" customFormat="1" ht="15.75">
      <c r="A29" s="551" t="s">
        <v>320</v>
      </c>
      <c r="B29" s="552"/>
      <c r="C29" s="552"/>
      <c r="D29" s="552"/>
      <c r="E29" s="552"/>
      <c r="F29" s="552"/>
      <c r="G29" s="552"/>
      <c r="H29" s="551"/>
      <c r="I29" s="551" t="s">
        <v>252</v>
      </c>
      <c r="J29" s="551"/>
      <c r="K29" s="551"/>
      <c r="L29" s="551"/>
    </row>
    <row r="30" spans="1:13" s="606" customFormat="1" ht="15">
      <c r="A30" s="571"/>
      <c r="B30" s="605"/>
      <c r="C30" s="605"/>
      <c r="D30" s="605"/>
      <c r="E30" s="605"/>
      <c r="F30" s="605"/>
      <c r="G30" s="605"/>
      <c r="H30" s="571"/>
      <c r="I30" s="571"/>
      <c r="J30" s="571"/>
      <c r="K30" s="571"/>
      <c r="L30" s="571"/>
      <c r="M30" s="607"/>
    </row>
    <row r="31" spans="1:12" s="595" customFormat="1" ht="15.75">
      <c r="A31" s="551" t="s">
        <v>152</v>
      </c>
      <c r="B31" s="552"/>
      <c r="C31" s="552"/>
      <c r="D31" s="552"/>
      <c r="E31" s="552"/>
      <c r="F31" s="552"/>
      <c r="G31" s="552"/>
      <c r="H31" s="551"/>
      <c r="I31" s="551" t="s">
        <v>325</v>
      </c>
      <c r="J31" s="551"/>
      <c r="K31" s="551"/>
      <c r="L31" s="551"/>
    </row>
    <row r="32" spans="1:12" s="606" customFormat="1" ht="15">
      <c r="A32" s="571"/>
      <c r="B32" s="605"/>
      <c r="C32" s="605"/>
      <c r="D32" s="605"/>
      <c r="E32" s="605"/>
      <c r="F32" s="605"/>
      <c r="G32" s="605"/>
      <c r="H32" s="571"/>
      <c r="I32" s="571"/>
      <c r="J32" s="571"/>
      <c r="K32" s="571"/>
      <c r="L32" s="571"/>
    </row>
    <row r="33" spans="1:12" s="595" customFormat="1" ht="15.75">
      <c r="A33" s="551" t="s">
        <v>831</v>
      </c>
      <c r="B33" s="552"/>
      <c r="C33" s="552"/>
      <c r="D33" s="552"/>
      <c r="E33" s="552"/>
      <c r="F33" s="552"/>
      <c r="G33" s="552"/>
      <c r="H33" s="551"/>
      <c r="I33" s="551" t="s">
        <v>832</v>
      </c>
      <c r="J33" s="551"/>
      <c r="K33" s="551"/>
      <c r="L33" s="551"/>
    </row>
    <row r="34" spans="1:12" ht="15">
      <c r="A34" s="604"/>
      <c r="B34" s="605"/>
      <c r="C34" s="605"/>
      <c r="D34" s="605"/>
      <c r="E34" s="605"/>
      <c r="F34" s="605"/>
      <c r="G34" s="605"/>
      <c r="H34" s="604"/>
      <c r="I34" s="604"/>
      <c r="J34" s="604"/>
      <c r="K34" s="604"/>
      <c r="L34" s="604"/>
    </row>
  </sheetData>
  <sheetProtection/>
  <mergeCells count="3">
    <mergeCell ref="A8:J8"/>
    <mergeCell ref="A9:J9"/>
    <mergeCell ref="B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5.140625" style="553" customWidth="1"/>
    <col min="2" max="3" width="9.140625" style="553" customWidth="1"/>
    <col min="4" max="4" width="5.7109375" style="553" customWidth="1"/>
    <col min="5" max="5" width="11.7109375" style="553" customWidth="1"/>
    <col min="6" max="6" width="9.140625" style="553" customWidth="1"/>
    <col min="7" max="7" width="6.7109375" style="553" customWidth="1"/>
    <col min="8" max="9" width="9.140625" style="553" customWidth="1"/>
    <col min="10" max="10" width="11.140625" style="553" customWidth="1"/>
    <col min="11" max="16384" width="9.140625" style="553" customWidth="1"/>
  </cols>
  <sheetData>
    <row r="1" spans="1:10" ht="15.75">
      <c r="A1" s="549"/>
      <c r="B1" s="550"/>
      <c r="C1" s="550"/>
      <c r="D1" s="550"/>
      <c r="E1" s="550"/>
      <c r="F1" s="550"/>
      <c r="G1" s="551"/>
      <c r="H1" s="551" t="s">
        <v>178</v>
      </c>
      <c r="I1" s="552"/>
      <c r="J1" s="552"/>
    </row>
    <row r="2" spans="1:10" ht="15.75">
      <c r="A2" s="549"/>
      <c r="B2" s="550"/>
      <c r="C2" s="550"/>
      <c r="D2" s="550"/>
      <c r="E2" s="550"/>
      <c r="F2" s="550"/>
      <c r="G2" s="551"/>
      <c r="H2" s="551"/>
      <c r="I2" s="552"/>
      <c r="J2" s="554" t="s">
        <v>437</v>
      </c>
    </row>
    <row r="3" spans="1:10" ht="15.75">
      <c r="A3" s="549"/>
      <c r="B3" s="550"/>
      <c r="C3" s="550"/>
      <c r="D3" s="550"/>
      <c r="E3" s="550"/>
      <c r="F3" s="550"/>
      <c r="G3" s="551"/>
      <c r="H3" s="555"/>
      <c r="I3" s="552"/>
      <c r="J3" s="554" t="s">
        <v>182</v>
      </c>
    </row>
    <row r="4" spans="1:10" ht="15.75">
      <c r="A4" s="549"/>
      <c r="B4" s="550"/>
      <c r="C4" s="550"/>
      <c r="D4" s="550"/>
      <c r="E4" s="550"/>
      <c r="F4" s="550"/>
      <c r="G4" s="551"/>
      <c r="H4" s="556">
        <v>27</v>
      </c>
      <c r="I4" s="557" t="s">
        <v>334</v>
      </c>
      <c r="J4" s="557" t="s">
        <v>234</v>
      </c>
    </row>
    <row r="5" spans="1:10" ht="15.75">
      <c r="A5" s="549"/>
      <c r="B5" s="550"/>
      <c r="C5" s="550"/>
      <c r="D5" s="550"/>
      <c r="E5" s="550"/>
      <c r="F5" s="550"/>
      <c r="G5" s="551"/>
      <c r="H5" s="555"/>
      <c r="I5" s="554"/>
      <c r="J5" s="554"/>
    </row>
    <row r="6" spans="1:10" ht="12.75">
      <c r="A6" s="549"/>
      <c r="B6" s="550"/>
      <c r="C6" s="550"/>
      <c r="D6" s="550"/>
      <c r="E6" s="550"/>
      <c r="F6" s="550"/>
      <c r="G6" s="558"/>
      <c r="H6" s="549"/>
      <c r="I6" s="550"/>
      <c r="J6" s="550"/>
    </row>
    <row r="7" spans="1:10" ht="15.75">
      <c r="A7" s="549"/>
      <c r="B7" s="550"/>
      <c r="C7" s="550"/>
      <c r="D7" s="550"/>
      <c r="E7" s="550"/>
      <c r="F7" s="550"/>
      <c r="G7" s="554"/>
      <c r="H7" s="555"/>
      <c r="I7" s="555"/>
      <c r="J7" s="555"/>
    </row>
    <row r="8" spans="1:10" ht="18.75">
      <c r="A8" s="2458" t="s">
        <v>439</v>
      </c>
      <c r="B8" s="2458"/>
      <c r="C8" s="2458"/>
      <c r="D8" s="2458"/>
      <c r="E8" s="2458"/>
      <c r="F8" s="2458"/>
      <c r="G8" s="2458"/>
      <c r="H8" s="2458"/>
      <c r="I8" s="2458"/>
      <c r="J8" s="2458"/>
    </row>
    <row r="9" spans="1:10" ht="18.75">
      <c r="A9" s="2458" t="s">
        <v>440</v>
      </c>
      <c r="B9" s="2458"/>
      <c r="C9" s="2458"/>
      <c r="D9" s="2458"/>
      <c r="E9" s="2458"/>
      <c r="F9" s="2458"/>
      <c r="G9" s="2458"/>
      <c r="H9" s="2458"/>
      <c r="I9" s="2458"/>
      <c r="J9" s="2458"/>
    </row>
    <row r="10" spans="1:10" ht="19.5">
      <c r="A10" s="559"/>
      <c r="B10" s="559"/>
      <c r="C10" s="559"/>
      <c r="D10" s="559"/>
      <c r="E10" s="559"/>
      <c r="F10" s="559"/>
      <c r="G10" s="559"/>
      <c r="H10" s="559"/>
      <c r="I10" s="559"/>
      <c r="J10" s="559"/>
    </row>
    <row r="11" spans="1:10" ht="12.75">
      <c r="A11" s="549"/>
      <c r="B11" s="550"/>
      <c r="C11" s="550"/>
      <c r="D11" s="550"/>
      <c r="E11" s="550"/>
      <c r="F11" s="550"/>
      <c r="G11" s="558"/>
      <c r="H11" s="549"/>
      <c r="I11" s="550"/>
      <c r="J11" s="550"/>
    </row>
    <row r="12" spans="1:10" ht="15.75">
      <c r="A12" s="549"/>
      <c r="B12" s="608" t="s">
        <v>335</v>
      </c>
      <c r="C12" s="560"/>
      <c r="D12" s="561"/>
      <c r="E12" s="550"/>
      <c r="F12" s="550"/>
      <c r="G12" s="558"/>
      <c r="H12" s="549"/>
      <c r="I12" s="550"/>
      <c r="J12" s="550"/>
    </row>
    <row r="13" spans="1:10" ht="15">
      <c r="A13" s="562"/>
      <c r="B13" s="563"/>
      <c r="C13" s="564"/>
      <c r="D13" s="564"/>
      <c r="E13" s="564"/>
      <c r="F13" s="565"/>
      <c r="G13" s="566"/>
      <c r="H13" s="567"/>
      <c r="I13" s="567" t="s">
        <v>442</v>
      </c>
      <c r="J13" s="568" t="s">
        <v>443</v>
      </c>
    </row>
    <row r="14" spans="1:10" ht="15">
      <c r="A14" s="569" t="s">
        <v>444</v>
      </c>
      <c r="B14" s="2455" t="s">
        <v>445</v>
      </c>
      <c r="C14" s="2456"/>
      <c r="D14" s="2456"/>
      <c r="E14" s="2456"/>
      <c r="F14" s="2457"/>
      <c r="G14" s="569" t="s">
        <v>446</v>
      </c>
      <c r="H14" s="569" t="s">
        <v>447</v>
      </c>
      <c r="I14" s="569" t="s">
        <v>448</v>
      </c>
      <c r="J14" s="573" t="s">
        <v>449</v>
      </c>
    </row>
    <row r="15" spans="1:10" ht="15">
      <c r="A15" s="569" t="s">
        <v>450</v>
      </c>
      <c r="B15" s="570"/>
      <c r="C15" s="571"/>
      <c r="D15" s="571"/>
      <c r="E15" s="571"/>
      <c r="F15" s="572"/>
      <c r="G15" s="569" t="s">
        <v>451</v>
      </c>
      <c r="H15" s="574"/>
      <c r="I15" s="569" t="s">
        <v>452</v>
      </c>
      <c r="J15" s="573" t="s">
        <v>453</v>
      </c>
    </row>
    <row r="16" spans="1:10" ht="15">
      <c r="A16" s="575"/>
      <c r="B16" s="576"/>
      <c r="C16" s="577"/>
      <c r="D16" s="577"/>
      <c r="E16" s="577"/>
      <c r="F16" s="578"/>
      <c r="G16" s="579"/>
      <c r="H16" s="580" t="s">
        <v>457</v>
      </c>
      <c r="I16" s="580" t="s">
        <v>457</v>
      </c>
      <c r="J16" s="581" t="s">
        <v>457</v>
      </c>
    </row>
    <row r="17" spans="1:10" ht="12.75">
      <c r="A17" s="582"/>
      <c r="B17" s="583"/>
      <c r="C17" s="550"/>
      <c r="D17" s="550"/>
      <c r="E17" s="550"/>
      <c r="F17" s="584"/>
      <c r="G17" s="582"/>
      <c r="H17" s="582"/>
      <c r="I17" s="582"/>
      <c r="J17" s="582"/>
    </row>
    <row r="18" spans="1:10" ht="19.5">
      <c r="A18" s="585"/>
      <c r="B18" s="586" t="s">
        <v>775</v>
      </c>
      <c r="C18" s="587"/>
      <c r="D18" s="552"/>
      <c r="E18" s="552"/>
      <c r="F18" s="584"/>
      <c r="G18" s="582"/>
      <c r="H18" s="582"/>
      <c r="I18" s="582"/>
      <c r="J18" s="582"/>
    </row>
    <row r="19" spans="1:10" ht="13.5">
      <c r="A19" s="588"/>
      <c r="B19" s="589"/>
      <c r="C19" s="590"/>
      <c r="D19" s="550"/>
      <c r="E19" s="550"/>
      <c r="F19" s="584"/>
      <c r="G19" s="582"/>
      <c r="H19" s="582"/>
      <c r="I19" s="582"/>
      <c r="J19" s="582"/>
    </row>
    <row r="20" spans="1:10" s="595" customFormat="1" ht="16.5">
      <c r="A20" s="591"/>
      <c r="B20" s="609" t="s">
        <v>776</v>
      </c>
      <c r="C20" s="552"/>
      <c r="D20" s="552"/>
      <c r="E20" s="552"/>
      <c r="F20" s="593"/>
      <c r="G20" s="594"/>
      <c r="H20" s="594"/>
      <c r="I20" s="594"/>
      <c r="J20" s="594"/>
    </row>
    <row r="21" spans="1:10" s="595" customFormat="1" ht="15.75">
      <c r="A21" s="591"/>
      <c r="B21" s="592"/>
      <c r="C21" s="552"/>
      <c r="D21" s="552"/>
      <c r="E21" s="552"/>
      <c r="F21" s="593"/>
      <c r="G21" s="594"/>
      <c r="H21" s="594"/>
      <c r="I21" s="594"/>
      <c r="J21" s="594"/>
    </row>
    <row r="22" spans="1:10" s="595" customFormat="1" ht="15" customHeight="1">
      <c r="A22" s="594"/>
      <c r="B22" s="592"/>
      <c r="C22" s="944" t="s">
        <v>337</v>
      </c>
      <c r="D22" s="596"/>
      <c r="E22" s="552"/>
      <c r="F22" s="610" t="s">
        <v>338</v>
      </c>
      <c r="G22" s="597" t="s">
        <v>460</v>
      </c>
      <c r="H22" s="591">
        <v>15700</v>
      </c>
      <c r="I22" s="598">
        <v>334900</v>
      </c>
      <c r="J22" s="946">
        <f>H22+I22</f>
        <v>350600</v>
      </c>
    </row>
    <row r="23" spans="1:10" s="595" customFormat="1" ht="15.75">
      <c r="A23" s="594"/>
      <c r="B23" s="592"/>
      <c r="C23" s="552"/>
      <c r="D23" s="552"/>
      <c r="E23" s="552"/>
      <c r="F23" s="593"/>
      <c r="G23" s="594"/>
      <c r="H23" s="594"/>
      <c r="I23" s="594"/>
      <c r="J23" s="945"/>
    </row>
    <row r="24" spans="1:10" s="595" customFormat="1" ht="15.75">
      <c r="A24" s="600"/>
      <c r="B24" s="601"/>
      <c r="C24" s="602"/>
      <c r="D24" s="602"/>
      <c r="E24" s="602"/>
      <c r="F24" s="603"/>
      <c r="G24" s="600"/>
      <c r="H24" s="600"/>
      <c r="I24" s="600"/>
      <c r="J24" s="600"/>
    </row>
    <row r="25" s="595" customFormat="1" ht="15.75"/>
    <row r="26" s="595" customFormat="1" ht="15.75"/>
    <row r="27" s="595" customFormat="1" ht="15.75"/>
    <row r="28" s="595" customFormat="1" ht="15.75"/>
    <row r="29" spans="1:12" s="595" customFormat="1" ht="15.75">
      <c r="A29" s="551" t="s">
        <v>320</v>
      </c>
      <c r="B29" s="552"/>
      <c r="C29" s="552"/>
      <c r="D29" s="552"/>
      <c r="E29" s="552"/>
      <c r="F29" s="552"/>
      <c r="G29" s="552"/>
      <c r="H29" s="551"/>
      <c r="I29" s="551" t="s">
        <v>252</v>
      </c>
      <c r="J29" s="551"/>
      <c r="K29" s="551"/>
      <c r="L29" s="551"/>
    </row>
    <row r="30" spans="1:13" s="606" customFormat="1" ht="15">
      <c r="A30" s="571"/>
      <c r="B30" s="605"/>
      <c r="C30" s="605"/>
      <c r="D30" s="605"/>
      <c r="E30" s="605"/>
      <c r="F30" s="605"/>
      <c r="G30" s="605"/>
      <c r="H30" s="571"/>
      <c r="I30" s="571"/>
      <c r="J30" s="571"/>
      <c r="K30" s="571"/>
      <c r="L30" s="571"/>
      <c r="M30" s="607"/>
    </row>
    <row r="31" spans="1:12" s="595" customFormat="1" ht="15.75">
      <c r="A31" s="551" t="s">
        <v>152</v>
      </c>
      <c r="B31" s="552"/>
      <c r="C31" s="552"/>
      <c r="D31" s="552"/>
      <c r="E31" s="552"/>
      <c r="F31" s="552"/>
      <c r="G31" s="552"/>
      <c r="H31" s="551"/>
      <c r="I31" s="551" t="s">
        <v>325</v>
      </c>
      <c r="J31" s="551"/>
      <c r="K31" s="551"/>
      <c r="L31" s="551"/>
    </row>
    <row r="32" spans="1:12" s="606" customFormat="1" ht="15">
      <c r="A32" s="571"/>
      <c r="B32" s="605"/>
      <c r="C32" s="605"/>
      <c r="D32" s="605"/>
      <c r="E32" s="605"/>
      <c r="F32" s="605"/>
      <c r="G32" s="605"/>
      <c r="H32" s="571"/>
      <c r="I32" s="571"/>
      <c r="J32" s="571"/>
      <c r="K32" s="571"/>
      <c r="L32" s="571"/>
    </row>
    <row r="33" spans="1:12" s="595" customFormat="1" ht="15.75">
      <c r="A33" s="551" t="s">
        <v>831</v>
      </c>
      <c r="B33" s="552"/>
      <c r="C33" s="552"/>
      <c r="D33" s="552"/>
      <c r="E33" s="552"/>
      <c r="F33" s="552"/>
      <c r="G33" s="552"/>
      <c r="H33" s="551"/>
      <c r="I33" s="551" t="s">
        <v>832</v>
      </c>
      <c r="J33" s="551"/>
      <c r="K33" s="551"/>
      <c r="L33" s="551"/>
    </row>
    <row r="34" spans="1:12" ht="15">
      <c r="A34" s="604"/>
      <c r="B34" s="605"/>
      <c r="C34" s="605"/>
      <c r="D34" s="605"/>
      <c r="E34" s="605"/>
      <c r="F34" s="605"/>
      <c r="G34" s="605"/>
      <c r="H34" s="604"/>
      <c r="I34" s="604"/>
      <c r="J34" s="604"/>
      <c r="K34" s="604"/>
      <c r="L34" s="604"/>
    </row>
  </sheetData>
  <sheetProtection/>
  <mergeCells count="3">
    <mergeCell ref="A8:J8"/>
    <mergeCell ref="A9:J9"/>
    <mergeCell ref="B14:F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Programmist</cp:lastModifiedBy>
  <cp:lastPrinted>2017-07-24T07:43:04Z</cp:lastPrinted>
  <dcterms:created xsi:type="dcterms:W3CDTF">1996-10-08T23:32:33Z</dcterms:created>
  <dcterms:modified xsi:type="dcterms:W3CDTF">2017-08-02T12:55:13Z</dcterms:modified>
  <cp:category/>
  <cp:version/>
  <cp:contentType/>
  <cp:contentStatus/>
</cp:coreProperties>
</file>